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G:\Avd ekonomi &amp; styrning\EkAnalys\Gemens_kataloger_EkAnalys\Prisindex för vård och omsorg\OPI_VPI 2024\"/>
    </mc:Choice>
  </mc:AlternateContent>
  <xr:revisionPtr revIDLastSave="0" documentId="13_ncr:1_{C615DEE7-EC94-4674-AEC5-BE9BC510B308}" xr6:coauthVersionLast="47" xr6:coauthVersionMax="47" xr10:uidLastSave="{00000000-0000-0000-0000-000000000000}"/>
  <bookViews>
    <workbookView xWindow="21195" yWindow="1485" windowWidth="27120" windowHeight="18960" tabRatio="701" xr2:uid="{00000000-000D-0000-FFFF-FFFF00000000}"/>
  </bookViews>
  <sheets>
    <sheet name="OPI" sheetId="3" r:id="rId1"/>
    <sheet name="Löneavtal" sheetId="1" r:id="rId2"/>
    <sheet name="Lagstadgade avgifter" sheetId="5" r:id="rId3"/>
    <sheet name="Semesterlöneskuld" sheetId="4" r:id="rId4"/>
    <sheet name="KPI" sheetId="2" r:id="rId5"/>
    <sheet name="OPI del av åre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0" i="3" l="1"/>
  <c r="AA9" i="3"/>
  <c r="V7" i="1"/>
  <c r="Z8" i="3"/>
  <c r="AA7" i="3"/>
  <c r="Z7" i="3"/>
  <c r="U17" i="1"/>
  <c r="U16" i="1"/>
  <c r="T7" i="1"/>
  <c r="U6" i="1"/>
  <c r="V6" i="1"/>
  <c r="V5" i="1"/>
  <c r="V4" i="1"/>
  <c r="U4" i="1"/>
  <c r="U16" i="5"/>
  <c r="U15" i="5"/>
  <c r="U8" i="4"/>
  <c r="Z23" i="6"/>
  <c r="Z22" i="6"/>
  <c r="V8" i="1" l="1"/>
  <c r="V9" i="1" s="1"/>
  <c r="V10" i="1" s="1"/>
  <c r="V11" i="1" s="1"/>
  <c r="V12" i="1" s="1"/>
  <c r="V13" i="1" s="1"/>
  <c r="V14" i="1" s="1"/>
  <c r="V15" i="1" s="1"/>
  <c r="F217" i="2"/>
  <c r="F216" i="2"/>
  <c r="F215" i="2"/>
  <c r="F214" i="2"/>
  <c r="F213" i="2"/>
  <c r="F212" i="2"/>
  <c r="F211" i="2"/>
  <c r="F210" i="2"/>
  <c r="F209" i="2"/>
  <c r="F208" i="2"/>
  <c r="F207" i="2"/>
  <c r="F206" i="2"/>
  <c r="F205" i="2"/>
  <c r="F229" i="2"/>
  <c r="F228" i="2"/>
  <c r="F227" i="2"/>
  <c r="F226" i="2"/>
  <c r="F225" i="2"/>
  <c r="F224" i="2"/>
  <c r="F223" i="2"/>
  <c r="F222" i="2"/>
  <c r="F221" i="2"/>
  <c r="F220" i="2"/>
  <c r="F219" i="2"/>
  <c r="F218" i="2"/>
  <c r="AC20" i="6"/>
  <c r="AC21" i="6"/>
  <c r="AC22" i="6"/>
  <c r="AC23" i="6"/>
  <c r="AC24" i="6"/>
  <c r="AC25" i="6"/>
  <c r="AC26" i="6"/>
  <c r="AC27" i="6"/>
  <c r="AC28" i="6"/>
  <c r="AC29" i="6"/>
  <c r="AC30" i="6"/>
  <c r="AC19" i="6"/>
  <c r="T14" i="5"/>
  <c r="T13" i="5"/>
  <c r="T8" i="5"/>
  <c r="T4" i="5"/>
  <c r="T15" i="5" s="1"/>
  <c r="C229" i="2"/>
  <c r="C217" i="2"/>
  <c r="C205" i="2"/>
  <c r="D205" i="2" s="1"/>
  <c r="E229" i="2"/>
  <c r="E228" i="2"/>
  <c r="E226" i="2"/>
  <c r="E227" i="2"/>
  <c r="V16" i="1" l="1"/>
  <c r="V17" i="1" s="1"/>
  <c r="AA5" i="3" s="1"/>
  <c r="T16" i="5"/>
  <c r="D229" i="2"/>
  <c r="Z10" i="3" s="1"/>
  <c r="D217" i="2"/>
  <c r="Y10" i="3" s="1"/>
  <c r="E225" i="2"/>
  <c r="E224" i="2"/>
  <c r="E223" i="2"/>
  <c r="E222" i="2"/>
  <c r="E221" i="2"/>
  <c r="E220" i="2"/>
  <c r="E219" i="2"/>
  <c r="E218" i="2"/>
  <c r="E217" i="2"/>
  <c r="E205" i="2"/>
  <c r="S15" i="1"/>
  <c r="E215" i="2"/>
  <c r="AA8" i="3" l="1"/>
  <c r="AA11" i="3" s="1"/>
  <c r="S7" i="1"/>
  <c r="T8" i="4" l="1"/>
  <c r="E207" i="2"/>
  <c r="E208" i="2"/>
  <c r="E209" i="2"/>
  <c r="E210" i="2"/>
  <c r="E211" i="2"/>
  <c r="E212" i="2"/>
  <c r="E213" i="2"/>
  <c r="E214" i="2"/>
  <c r="E216" i="2"/>
  <c r="E206" i="2"/>
  <c r="E204" i="2"/>
  <c r="S8" i="1" l="1"/>
  <c r="S9" i="1"/>
  <c r="S10" i="1"/>
  <c r="S11" i="1"/>
  <c r="S12" i="1"/>
  <c r="S13" i="1"/>
  <c r="S14" i="1"/>
  <c r="X7" i="3"/>
  <c r="S8" i="5"/>
  <c r="S14" i="5"/>
  <c r="S16" i="1" l="1"/>
  <c r="Y7" i="3"/>
  <c r="R10" i="3"/>
  <c r="D146" i="2"/>
  <c r="C98" i="2"/>
  <c r="C122" i="2"/>
  <c r="C134" i="2"/>
  <c r="D157" i="2"/>
  <c r="D169" i="2"/>
  <c r="Z24" i="6" l="1"/>
  <c r="Z25" i="6"/>
  <c r="Z30" i="6"/>
  <c r="Z26" i="6"/>
  <c r="Z27" i="6"/>
  <c r="Z28" i="6"/>
  <c r="Z29" i="6"/>
  <c r="C193" i="2"/>
  <c r="X10" i="3" l="1"/>
  <c r="W10" i="3"/>
  <c r="E203" i="2" l="1"/>
  <c r="S4" i="5"/>
  <c r="E195" i="2" l="1"/>
  <c r="F195" i="2" s="1"/>
  <c r="E196" i="2"/>
  <c r="F196" i="2" s="1"/>
  <c r="E197" i="2"/>
  <c r="E198" i="2"/>
  <c r="E199" i="2"/>
  <c r="E200" i="2"/>
  <c r="E201" i="2"/>
  <c r="E202" i="2"/>
  <c r="E182" i="2"/>
  <c r="E194" i="2"/>
  <c r="F194" i="2" s="1"/>
  <c r="E193" i="2"/>
  <c r="E192" i="2"/>
  <c r="E181" i="2"/>
  <c r="E191" i="2"/>
  <c r="E190" i="2"/>
  <c r="E189" i="2"/>
  <c r="E188" i="2"/>
  <c r="E187" i="2"/>
  <c r="E186" i="2"/>
  <c r="E185" i="2"/>
  <c r="E184" i="2"/>
  <c r="E183" i="2"/>
  <c r="E180" i="2" l="1"/>
  <c r="F197" i="2"/>
  <c r="F198" i="2"/>
  <c r="F203" i="2"/>
  <c r="F204" i="2"/>
  <c r="F199" i="2"/>
  <c r="F200" i="2"/>
  <c r="F201" i="2"/>
  <c r="F202" i="2"/>
  <c r="E169" i="2" l="1"/>
  <c r="H8" i="4" l="1"/>
  <c r="R4" i="5"/>
  <c r="R8" i="5" s="1"/>
  <c r="B13" i="5" l="1"/>
  <c r="R13" i="5" l="1"/>
  <c r="S13" i="5"/>
  <c r="S15" i="5" s="1"/>
  <c r="R15" i="5" l="1"/>
  <c r="R14" i="5"/>
  <c r="C15" i="1"/>
  <c r="C9" i="1"/>
  <c r="S16" i="5" l="1"/>
  <c r="AN9" i="1"/>
  <c r="AN10" i="1"/>
  <c r="AN11" i="1"/>
  <c r="AN12" i="1"/>
  <c r="AN13" i="1"/>
  <c r="AN8" i="1"/>
  <c r="W7" i="3" l="1"/>
  <c r="E168" i="2"/>
  <c r="E172" i="2"/>
  <c r="C169" i="2"/>
  <c r="F181" i="2" l="1"/>
  <c r="F180" i="2"/>
  <c r="E170" i="2"/>
  <c r="F170" i="2" s="1"/>
  <c r="E171" i="2"/>
  <c r="F171" i="2" s="1"/>
  <c r="F172" i="2"/>
  <c r="E173" i="2"/>
  <c r="F173" i="2" s="1"/>
  <c r="E174" i="2"/>
  <c r="F174" i="2" s="1"/>
  <c r="E175" i="2"/>
  <c r="E176" i="2"/>
  <c r="E177" i="2"/>
  <c r="E178" i="2"/>
  <c r="E179" i="2"/>
  <c r="E158" i="2"/>
  <c r="C181" i="2"/>
  <c r="C145" i="2"/>
  <c r="C146" i="2"/>
  <c r="E159" i="2"/>
  <c r="E160" i="2"/>
  <c r="E161" i="2"/>
  <c r="E162" i="2"/>
  <c r="E163" i="2"/>
  <c r="E164" i="2"/>
  <c r="E165" i="2"/>
  <c r="E166" i="2"/>
  <c r="E167" i="2"/>
  <c r="D193" i="2" l="1"/>
  <c r="D181" i="2"/>
  <c r="F193" i="2"/>
  <c r="F188" i="2"/>
  <c r="F187" i="2"/>
  <c r="F182" i="2"/>
  <c r="F189" i="2"/>
  <c r="F186" i="2"/>
  <c r="F185" i="2"/>
  <c r="F184" i="2"/>
  <c r="F183" i="2"/>
  <c r="F192" i="2"/>
  <c r="F191" i="2"/>
  <c r="F190" i="2"/>
  <c r="Q10" i="5" l="1"/>
  <c r="F176" i="2" l="1"/>
  <c r="F178" i="2"/>
  <c r="F179" i="2"/>
  <c r="F175" i="2"/>
  <c r="F177" i="2"/>
  <c r="P10" i="5" l="1"/>
  <c r="C157" i="2"/>
  <c r="C158" i="2"/>
  <c r="D158" i="2" s="1"/>
  <c r="F169" i="2" l="1"/>
  <c r="F168" i="2"/>
  <c r="F158" i="2"/>
  <c r="F159" i="2"/>
  <c r="F164" i="2"/>
  <c r="F167" i="2"/>
  <c r="F160" i="2"/>
  <c r="F166" i="2"/>
  <c r="F161" i="2"/>
  <c r="F162" i="2"/>
  <c r="F163" i="2"/>
  <c r="F165" i="2"/>
  <c r="O10" i="5" l="1"/>
  <c r="N10" i="5" l="1"/>
  <c r="P10" i="3" l="1"/>
  <c r="C133" i="2"/>
  <c r="D145" i="2" s="1"/>
  <c r="M4" i="5" l="1"/>
  <c r="K8" i="4" l="1"/>
  <c r="O8" i="3" s="1"/>
  <c r="L8" i="4" l="1"/>
  <c r="M8" i="4" s="1"/>
  <c r="M10" i="5"/>
  <c r="N8" i="4" l="1"/>
  <c r="I5" i="4"/>
  <c r="I7" i="4"/>
  <c r="O8" i="4" l="1"/>
  <c r="P8" i="4" s="1"/>
  <c r="Q8" i="4" s="1"/>
  <c r="R8" i="4" s="1"/>
  <c r="S8" i="4" s="1"/>
  <c r="N8" i="3"/>
  <c r="L10" i="5"/>
  <c r="D134" i="2" l="1"/>
  <c r="O10" i="3" l="1"/>
  <c r="N10" i="3"/>
  <c r="C110" i="2"/>
  <c r="M10" i="3" l="1"/>
  <c r="D122" i="2"/>
  <c r="K10" i="5"/>
  <c r="D110" i="2" l="1"/>
  <c r="L10" i="3" l="1"/>
  <c r="C86" i="2" l="1"/>
  <c r="C74" i="2"/>
  <c r="G5" i="5"/>
  <c r="H5" i="5" s="1"/>
  <c r="I5" i="5" s="1"/>
  <c r="J5" i="5" s="1"/>
  <c r="G4" i="5"/>
  <c r="G10" i="5" s="1"/>
  <c r="C14" i="5"/>
  <c r="C15" i="5" s="1"/>
  <c r="B6" i="4" s="1"/>
  <c r="B8" i="4" s="1"/>
  <c r="B12" i="5"/>
  <c r="F10" i="5"/>
  <c r="E9" i="5"/>
  <c r="B11" i="5"/>
  <c r="E11" i="5" s="1"/>
  <c r="D9" i="5"/>
  <c r="C26" i="2"/>
  <c r="C14" i="2"/>
  <c r="C38" i="2"/>
  <c r="C50" i="2"/>
  <c r="C62" i="2"/>
  <c r="E7" i="1"/>
  <c r="E8" i="1" s="1"/>
  <c r="E9" i="1" s="1"/>
  <c r="E10" i="1" s="1"/>
  <c r="E11" i="1" s="1"/>
  <c r="E12" i="1" s="1"/>
  <c r="E13" i="1" s="1"/>
  <c r="E14" i="1" s="1"/>
  <c r="E15" i="1" s="1"/>
  <c r="F4" i="1" s="1"/>
  <c r="B8" i="1"/>
  <c r="O12" i="5" l="1"/>
  <c r="O14" i="5" s="1"/>
  <c r="O15" i="5" s="1"/>
  <c r="Q12" i="5"/>
  <c r="Q14" i="5" s="1"/>
  <c r="Q15" i="5" s="1"/>
  <c r="P12" i="5"/>
  <c r="P14" i="5" s="1"/>
  <c r="P15" i="5" s="1"/>
  <c r="P16" i="5" s="1"/>
  <c r="D38" i="2"/>
  <c r="C10" i="3" s="1"/>
  <c r="N12" i="5"/>
  <c r="N14" i="5" s="1"/>
  <c r="N15" i="5" s="1"/>
  <c r="M12" i="5"/>
  <c r="M14" i="5" s="1"/>
  <c r="M15" i="5" s="1"/>
  <c r="L12" i="5"/>
  <c r="L14" i="5" s="1"/>
  <c r="L15" i="5" s="1"/>
  <c r="H4" i="5"/>
  <c r="H10" i="5" s="1"/>
  <c r="D11" i="5"/>
  <c r="D14" i="5" s="1"/>
  <c r="D15" i="5" s="1"/>
  <c r="D26" i="2"/>
  <c r="B10" i="3" s="1"/>
  <c r="D74" i="2"/>
  <c r="G10" i="3" s="1"/>
  <c r="H12" i="5"/>
  <c r="H14" i="5" s="1"/>
  <c r="H15" i="5" s="1"/>
  <c r="G6" i="4" s="1"/>
  <c r="G8" i="4" s="1"/>
  <c r="K12" i="5"/>
  <c r="K14" i="5" s="1"/>
  <c r="K15" i="5" s="1"/>
  <c r="J12" i="5"/>
  <c r="E14" i="5"/>
  <c r="E15" i="5" s="1"/>
  <c r="D6" i="4" s="1"/>
  <c r="D8" i="4" s="1"/>
  <c r="D62" i="2"/>
  <c r="F10" i="3" s="1"/>
  <c r="F12" i="5"/>
  <c r="F14" i="5" s="1"/>
  <c r="F15" i="5" s="1"/>
  <c r="D86" i="2"/>
  <c r="I10" i="3" s="1"/>
  <c r="D98" i="2"/>
  <c r="F5" i="1"/>
  <c r="F6" i="1" s="1"/>
  <c r="F7" i="1" s="1"/>
  <c r="F8" i="1" s="1"/>
  <c r="F9" i="1" s="1"/>
  <c r="F10" i="1" s="1"/>
  <c r="F11" i="1" s="1"/>
  <c r="F12" i="1" s="1"/>
  <c r="F13" i="1" s="1"/>
  <c r="F14" i="1" s="1"/>
  <c r="F15" i="1" s="1"/>
  <c r="G4" i="1" s="1"/>
  <c r="B9" i="1"/>
  <c r="B10" i="1" s="1"/>
  <c r="B11" i="1" s="1"/>
  <c r="B12" i="1" s="1"/>
  <c r="B13" i="1" s="1"/>
  <c r="B14" i="1" s="1"/>
  <c r="B15" i="1" s="1"/>
  <c r="C4" i="1" s="1"/>
  <c r="D50" i="2"/>
  <c r="D10" i="3" s="1"/>
  <c r="I4" i="5"/>
  <c r="I12" i="5"/>
  <c r="G12" i="5"/>
  <c r="G14" i="5" s="1"/>
  <c r="G15" i="5" s="1"/>
  <c r="E6" i="4" l="1"/>
  <c r="E8" i="4" s="1"/>
  <c r="F16" i="5"/>
  <c r="D7" i="3" s="1"/>
  <c r="O16" i="5"/>
  <c r="R7" i="3" s="1"/>
  <c r="Q16" i="5"/>
  <c r="R16" i="5"/>
  <c r="E16" i="5"/>
  <c r="C7" i="3" s="1"/>
  <c r="M16" i="5"/>
  <c r="L16" i="5"/>
  <c r="M7" i="3" s="1"/>
  <c r="N16" i="5"/>
  <c r="Q7" i="3" s="1"/>
  <c r="J10" i="3"/>
  <c r="K10" i="3"/>
  <c r="I10" i="5"/>
  <c r="I14" i="5" s="1"/>
  <c r="I15" i="5" s="1"/>
  <c r="I16" i="5" s="1"/>
  <c r="I7" i="3" s="1"/>
  <c r="J4" i="5"/>
  <c r="J10" i="5" s="1"/>
  <c r="J14" i="5" s="1"/>
  <c r="J15" i="5" s="1"/>
  <c r="I6" i="4" s="1"/>
  <c r="I8" i="4" s="1"/>
  <c r="B16" i="1"/>
  <c r="F16" i="1"/>
  <c r="C6" i="4"/>
  <c r="C8" i="4" s="1"/>
  <c r="D16" i="5"/>
  <c r="B7" i="3" s="1"/>
  <c r="F6" i="4"/>
  <c r="F8" i="4" s="1"/>
  <c r="G16" i="5"/>
  <c r="F7" i="3" s="1"/>
  <c r="C5" i="1"/>
  <c r="C6" i="1" s="1"/>
  <c r="C7" i="1" s="1"/>
  <c r="C8" i="1" s="1"/>
  <c r="C10" i="1" s="1"/>
  <c r="D4" i="1"/>
  <c r="H16" i="5"/>
  <c r="G7" i="3" s="1"/>
  <c r="G5" i="1"/>
  <c r="G6" i="1" s="1"/>
  <c r="G7" i="1" s="1"/>
  <c r="G8" i="1" s="1"/>
  <c r="G9" i="1" s="1"/>
  <c r="G10" i="1" s="1"/>
  <c r="G11" i="1" s="1"/>
  <c r="G12" i="1" s="1"/>
  <c r="G13" i="1" s="1"/>
  <c r="G14" i="1" s="1"/>
  <c r="G15" i="1" s="1"/>
  <c r="H4" i="1" s="1"/>
  <c r="H5" i="1" s="1"/>
  <c r="H6" i="1" s="1"/>
  <c r="H7" i="1" s="1"/>
  <c r="H8" i="1" s="1"/>
  <c r="H9" i="1" s="1"/>
  <c r="H10" i="1" s="1"/>
  <c r="H11" i="1" s="1"/>
  <c r="H12" i="1" s="1"/>
  <c r="H13" i="1" s="1"/>
  <c r="H14" i="1" s="1"/>
  <c r="H15" i="1" s="1"/>
  <c r="I4" i="1" s="1"/>
  <c r="I5" i="1" s="1"/>
  <c r="I6" i="1" s="1"/>
  <c r="I7" i="1" s="1"/>
  <c r="I8" i="1" s="1"/>
  <c r="I9" i="1" s="1"/>
  <c r="I10" i="1" s="1"/>
  <c r="I11" i="1" s="1"/>
  <c r="I12" i="1" s="1"/>
  <c r="I13" i="1" s="1"/>
  <c r="I14" i="1" s="1"/>
  <c r="I15" i="1" s="1"/>
  <c r="J4" i="1" s="1"/>
  <c r="K16" i="5" l="1"/>
  <c r="L7" i="3" s="1"/>
  <c r="P7" i="3"/>
  <c r="N7" i="3"/>
  <c r="N9" i="3" s="1"/>
  <c r="N11" i="3" s="1"/>
  <c r="O7" i="3"/>
  <c r="J5" i="1"/>
  <c r="J6" i="1" s="1"/>
  <c r="J7" i="1" s="1"/>
  <c r="J8" i="1" s="1"/>
  <c r="J9" i="1" s="1"/>
  <c r="J10" i="1" s="1"/>
  <c r="J11" i="1" s="1"/>
  <c r="J12" i="1" s="1"/>
  <c r="J13" i="1" s="1"/>
  <c r="J14" i="1" s="1"/>
  <c r="J15" i="1" s="1"/>
  <c r="K4" i="1" s="1"/>
  <c r="H16" i="1"/>
  <c r="J16" i="5"/>
  <c r="C12" i="1"/>
  <c r="C14" i="1" s="1"/>
  <c r="C11" i="1"/>
  <c r="C13" i="1" s="1"/>
  <c r="G16" i="1"/>
  <c r="G17" i="1" s="1"/>
  <c r="G5" i="3" s="1"/>
  <c r="G8" i="3" s="1"/>
  <c r="G9" i="3" s="1"/>
  <c r="G11" i="3" s="1"/>
  <c r="D5" i="1"/>
  <c r="D6" i="1" s="1"/>
  <c r="D7" i="1" s="1"/>
  <c r="D8" i="1" s="1"/>
  <c r="D9" i="1" s="1"/>
  <c r="D10" i="1" s="1"/>
  <c r="D11" i="1" s="1"/>
  <c r="D12" i="1" s="1"/>
  <c r="D13" i="1" s="1"/>
  <c r="D14" i="1" s="1"/>
  <c r="D15" i="1" s="1"/>
  <c r="E4" i="1" s="1"/>
  <c r="I16" i="1"/>
  <c r="C16" i="1" l="1"/>
  <c r="C17" i="1" s="1"/>
  <c r="B5" i="3" s="1"/>
  <c r="D16" i="1"/>
  <c r="K5" i="1"/>
  <c r="K6" i="1" s="1"/>
  <c r="K7" i="1" s="1"/>
  <c r="K8" i="1" s="1"/>
  <c r="K9" i="1" s="1"/>
  <c r="K10" i="1" s="1"/>
  <c r="K11" i="1" s="1"/>
  <c r="K12" i="1" s="1"/>
  <c r="K13" i="1" s="1"/>
  <c r="K14" i="1" s="1"/>
  <c r="K15" i="1" s="1"/>
  <c r="L4" i="1" s="1"/>
  <c r="I17" i="1"/>
  <c r="K5" i="3" s="1"/>
  <c r="K8" i="3" s="1"/>
  <c r="J16" i="1"/>
  <c r="J17" i="1" s="1"/>
  <c r="L5" i="3" s="1"/>
  <c r="L8" i="3" s="1"/>
  <c r="K7" i="3"/>
  <c r="J7" i="3"/>
  <c r="J8" i="3"/>
  <c r="E5" i="1"/>
  <c r="E6" i="1" s="1"/>
  <c r="H17" i="1"/>
  <c r="I5" i="3" s="1"/>
  <c r="I8" i="3" s="1"/>
  <c r="I9" i="3" s="1"/>
  <c r="I11" i="3" s="1"/>
  <c r="D17" i="1" l="1"/>
  <c r="C5" i="3" s="1"/>
  <c r="K16" i="1"/>
  <c r="K17" i="1" s="1"/>
  <c r="M5" i="3" s="1"/>
  <c r="M8" i="3" s="1"/>
  <c r="L5" i="1"/>
  <c r="L6" i="1" s="1"/>
  <c r="L7" i="1" s="1"/>
  <c r="L9" i="3"/>
  <c r="L11" i="3" s="1"/>
  <c r="J9" i="3"/>
  <c r="J11" i="3" s="1"/>
  <c r="E16" i="1"/>
  <c r="E17" i="1" s="1"/>
  <c r="D5" i="3" s="1"/>
  <c r="B8" i="3"/>
  <c r="B9" i="3" s="1"/>
  <c r="B11" i="3" s="1"/>
  <c r="L8" i="1" l="1"/>
  <c r="L9" i="1" s="1"/>
  <c r="L10" i="1" s="1"/>
  <c r="L11" i="1" s="1"/>
  <c r="L12" i="1" s="1"/>
  <c r="L13" i="1" s="1"/>
  <c r="L14" i="1" s="1"/>
  <c r="L15" i="1" s="1"/>
  <c r="M4" i="1" s="1"/>
  <c r="M9" i="3"/>
  <c r="M11" i="3" s="1"/>
  <c r="F17" i="1"/>
  <c r="F5" i="3" s="1"/>
  <c r="F8" i="3" s="1"/>
  <c r="F9" i="3" s="1"/>
  <c r="F11" i="3" s="1"/>
  <c r="C8" i="3"/>
  <c r="C9" i="3" s="1"/>
  <c r="C11" i="3" s="1"/>
  <c r="D8" i="3"/>
  <c r="D9" i="3" s="1"/>
  <c r="D11" i="3" s="1"/>
  <c r="L16" i="1" l="1"/>
  <c r="M5" i="1"/>
  <c r="M6" i="1" s="1"/>
  <c r="K9" i="3"/>
  <c r="K11" i="3" s="1"/>
  <c r="L17" i="1" l="1"/>
  <c r="O5" i="3" s="1"/>
  <c r="P8" i="3" s="1"/>
  <c r="M7" i="1"/>
  <c r="M8" i="1" s="1"/>
  <c r="M9" i="1" s="1"/>
  <c r="M10" i="1" s="1"/>
  <c r="O9" i="3" l="1"/>
  <c r="O11" i="3" s="1"/>
  <c r="P9" i="3"/>
  <c r="P11" i="3" s="1"/>
  <c r="M11" i="1"/>
  <c r="M12" i="1" l="1"/>
  <c r="M13" i="1" s="1"/>
  <c r="M14" i="1" s="1"/>
  <c r="M15" i="1" s="1"/>
  <c r="N4" i="1" l="1"/>
  <c r="M16" i="1"/>
  <c r="M17" i="1" s="1"/>
  <c r="Q5" i="3" s="1"/>
  <c r="Q8" i="3" s="1"/>
  <c r="N5" i="1" l="1"/>
  <c r="N6" i="1" s="1"/>
  <c r="N7" i="1" s="1"/>
  <c r="Q9" i="3"/>
  <c r="Q11" i="3" s="1"/>
  <c r="N8" i="1" l="1"/>
  <c r="N9" i="1" s="1"/>
  <c r="N10" i="1" s="1"/>
  <c r="N11" i="1" s="1"/>
  <c r="N12" i="1" s="1"/>
  <c r="N13" i="1" s="1"/>
  <c r="N14" i="1" s="1"/>
  <c r="N15" i="1" s="1"/>
  <c r="O4" i="1" s="1"/>
  <c r="O5" i="1" s="1"/>
  <c r="O6" i="1" s="1"/>
  <c r="N16" i="1" l="1"/>
  <c r="N17" i="1" s="1"/>
  <c r="R5" i="3" s="1"/>
  <c r="R8" i="3" s="1"/>
  <c r="R9" i="3" l="1"/>
  <c r="R11" i="3" s="1"/>
  <c r="O7" i="1"/>
  <c r="O8" i="1" s="1"/>
  <c r="P14" i="1" l="1"/>
  <c r="P15" i="1" s="1"/>
  <c r="Q4" i="1" s="1"/>
  <c r="Q5" i="1" s="1"/>
  <c r="Q6" i="1" s="1"/>
  <c r="O9" i="1"/>
  <c r="O10" i="1" s="1"/>
  <c r="O11" i="1" s="1"/>
  <c r="O12" i="1" s="1"/>
  <c r="O13" i="1" s="1"/>
  <c r="O14" i="1" s="1"/>
  <c r="O15" i="1" s="1"/>
  <c r="Q7" i="1" l="1"/>
  <c r="Q8" i="1" s="1"/>
  <c r="Q9" i="1" s="1"/>
  <c r="Q10" i="1" s="1"/>
  <c r="Q11" i="1" s="1"/>
  <c r="Q12" i="1" s="1"/>
  <c r="Q13" i="1" s="1"/>
  <c r="Q14" i="1" s="1"/>
  <c r="Q15" i="1" s="1"/>
  <c r="R4" i="1" s="1"/>
  <c r="R5" i="1" s="1"/>
  <c r="P4" i="1"/>
  <c r="O16" i="1"/>
  <c r="O17" i="1" s="1"/>
  <c r="R6" i="1" l="1"/>
  <c r="P5" i="1"/>
  <c r="R7" i="1" l="1"/>
  <c r="R8" i="1" s="1"/>
  <c r="P6" i="1"/>
  <c r="P7" i="1" s="1"/>
  <c r="P8" i="1" s="1"/>
  <c r="P9" i="1" s="1"/>
  <c r="P10" i="1" s="1"/>
  <c r="P11" i="1" s="1"/>
  <c r="P12" i="1" s="1"/>
  <c r="P13" i="1" s="1"/>
  <c r="R9" i="1" l="1"/>
  <c r="R10" i="1" s="1"/>
  <c r="R11" i="1" s="1"/>
  <c r="R12" i="1" s="1"/>
  <c r="R13" i="1" s="1"/>
  <c r="R14" i="1" s="1"/>
  <c r="R15" i="1" s="1"/>
  <c r="T4" i="1" s="1"/>
  <c r="P16" i="1"/>
  <c r="P17" i="1" s="1"/>
  <c r="R16" i="1" l="1"/>
  <c r="S17" i="1" s="1"/>
  <c r="X5" i="3"/>
  <c r="X8" i="3" s="1"/>
  <c r="T5" i="1"/>
  <c r="T6" i="1" s="1"/>
  <c r="T8" i="1" s="1"/>
  <c r="T9" i="1" s="1"/>
  <c r="T10" i="1" s="1"/>
  <c r="T11" i="1" s="1"/>
  <c r="T12" i="1" s="1"/>
  <c r="T13" i="1" s="1"/>
  <c r="T14" i="1" s="1"/>
  <c r="T15" i="1" s="1"/>
  <c r="Q16" i="1"/>
  <c r="R17" i="1" s="1"/>
  <c r="W19" i="6" l="1"/>
  <c r="U5" i="1"/>
  <c r="T16" i="1"/>
  <c r="T17" i="1" s="1"/>
  <c r="Y5" i="3" s="1"/>
  <c r="X9" i="3"/>
  <c r="X11" i="3" s="1"/>
  <c r="Q17" i="1"/>
  <c r="W5" i="3"/>
  <c r="X19" i="6" l="1"/>
  <c r="AA19" i="6" s="1"/>
  <c r="AB19" i="6" s="1"/>
  <c r="AD19" i="6" s="1"/>
  <c r="P19" i="6" s="1"/>
  <c r="W21" i="6"/>
  <c r="X21" i="6" s="1"/>
  <c r="AA21" i="6" s="1"/>
  <c r="AB21" i="6" s="1"/>
  <c r="AD21" i="6" s="1"/>
  <c r="P21" i="6" s="1"/>
  <c r="W20" i="6"/>
  <c r="X20" i="6" s="1"/>
  <c r="AA20" i="6" s="1"/>
  <c r="AB20" i="6" s="1"/>
  <c r="AD20" i="6" s="1"/>
  <c r="P20" i="6" s="1"/>
  <c r="Y8" i="3"/>
  <c r="Y9" i="3" s="1"/>
  <c r="Y11" i="3" s="1"/>
  <c r="W8" i="3"/>
  <c r="W9" i="3" s="1"/>
  <c r="W11" i="3" s="1"/>
  <c r="U7" i="1" l="1"/>
  <c r="U8" i="1" l="1"/>
  <c r="W22" i="6"/>
  <c r="X22" i="6" s="1"/>
  <c r="AA22" i="6" s="1"/>
  <c r="AB22" i="6" s="1"/>
  <c r="AD22" i="6" s="1"/>
  <c r="P22" i="6" s="1"/>
  <c r="U9" i="1" l="1"/>
  <c r="W23" i="6"/>
  <c r="X23" i="6" s="1"/>
  <c r="AA23" i="6" s="1"/>
  <c r="AB23" i="6" s="1"/>
  <c r="AD23" i="6" s="1"/>
  <c r="P23" i="6" s="1"/>
  <c r="U10" i="1" l="1"/>
  <c r="W24" i="6"/>
  <c r="X24" i="6" s="1"/>
  <c r="AA24" i="6" s="1"/>
  <c r="AB24" i="6" s="1"/>
  <c r="AD24" i="6" s="1"/>
  <c r="P24" i="6" s="1"/>
  <c r="W25" i="6"/>
  <c r="X25" i="6" s="1"/>
  <c r="AA25" i="6" s="1"/>
  <c r="AB25" i="6" s="1"/>
  <c r="AD25" i="6" s="1"/>
  <c r="P25" i="6" s="1"/>
  <c r="U11" i="1" l="1"/>
  <c r="U12" i="1" l="1"/>
  <c r="W26" i="6"/>
  <c r="X26" i="6" s="1"/>
  <c r="AA26" i="6" s="1"/>
  <c r="AB26" i="6" s="1"/>
  <c r="AD26" i="6" s="1"/>
  <c r="P26" i="6" s="1"/>
  <c r="U13" i="1" l="1"/>
  <c r="W27" i="6"/>
  <c r="X27" i="6" s="1"/>
  <c r="AA27" i="6" s="1"/>
  <c r="AB27" i="6" s="1"/>
  <c r="AD27" i="6" s="1"/>
  <c r="P27" i="6" s="1"/>
  <c r="U14" i="1" l="1"/>
  <c r="W28" i="6"/>
  <c r="X28" i="6" s="1"/>
  <c r="AA28" i="6" s="1"/>
  <c r="AB28" i="6" s="1"/>
  <c r="AD28" i="6" s="1"/>
  <c r="P28" i="6" s="1"/>
  <c r="U15" i="1" l="1"/>
  <c r="W29" i="6"/>
  <c r="X29" i="6" s="1"/>
  <c r="AA29" i="6" s="1"/>
  <c r="AB29" i="6" s="1"/>
  <c r="AD29" i="6" s="1"/>
  <c r="P29" i="6" s="1"/>
  <c r="Z5" i="3" l="1"/>
  <c r="W30" i="6"/>
  <c r="X30" i="6" s="1"/>
  <c r="AA30" i="6" s="1"/>
  <c r="AB30" i="6" s="1"/>
  <c r="AD30" i="6" s="1"/>
  <c r="P30" i="6" s="1"/>
  <c r="Z9" i="3" l="1"/>
  <c r="Z1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hhel1</author>
    <author>Fransson Jonathan</author>
    <author>Hellstrand Håkan</author>
  </authors>
  <commentList>
    <comment ref="F5" authorId="0" shapeId="0" xr:uid="{00000000-0006-0000-0000-000001000000}">
      <text>
        <r>
          <rPr>
            <sz val="8"/>
            <color indexed="81"/>
            <rFont val="Tahoma"/>
            <family val="2"/>
          </rPr>
          <t xml:space="preserve">Löneökning enligt avtal inkl. kostnadsminskning pga. att ob, jour och beredskap samt lägstlönerna inte räknas upp med hela ramen, se fliken "Löneavtal".
</t>
        </r>
      </text>
    </comment>
    <comment ref="H5" authorId="0" shapeId="0" xr:uid="{00000000-0006-0000-0000-000002000000}">
      <text>
        <r>
          <rPr>
            <sz val="8"/>
            <color indexed="81"/>
            <rFont val="Tahoma"/>
            <family val="2"/>
          </rPr>
          <t>Är lika med överhäng från 2011 års avtal. Siffran revideras när centralt löneavtal mellan SKL och Kommunal för 2012 är färdigt.</t>
        </r>
      </text>
    </comment>
    <comment ref="V5" authorId="1" shapeId="0" xr:uid="{00000000-0006-0000-0000-000003000000}">
      <text>
        <r>
          <rPr>
            <sz val="9"/>
            <color indexed="81"/>
            <rFont val="Tahoma"/>
            <family val="2"/>
          </rPr>
          <t>Varav -0,2 är korrigering för felaktig beräkning 2019</t>
        </r>
      </text>
    </comment>
    <comment ref="P8" authorId="2" shapeId="0" xr:uid="{00000000-0006-0000-0000-000004000000}">
      <text>
        <r>
          <rPr>
            <sz val="9"/>
            <color indexed="81"/>
            <rFont val="Tahoma"/>
            <family val="2"/>
          </rPr>
          <t>Varav 0,1 är korrigering för felaktig beräkning 2016</t>
        </r>
      </text>
    </comment>
    <comment ref="Q8" authorId="2" shapeId="0" xr:uid="{00000000-0006-0000-0000-000005000000}">
      <text>
        <r>
          <rPr>
            <sz val="9"/>
            <color indexed="81"/>
            <rFont val="Tahoma"/>
            <family val="2"/>
          </rPr>
          <t>Varav 0,1 är korrigering för felaktig beräkning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Ekström Adrian</author>
  </authors>
  <commentList>
    <comment ref="F7" authorId="0" shapeId="0" xr:uid="{00000000-0006-0000-0100-000001000000}">
      <text>
        <r>
          <rPr>
            <b/>
            <sz val="8"/>
            <color indexed="81"/>
            <rFont val="Tahoma"/>
            <family val="2"/>
          </rPr>
          <t>Nivåhöjning 1 april 2010:
490 kr / 20 783 kr = 2.36%
Kostnadshöjning efter det att hänsyn tagits till att lägstlöner och vissa förmåner räknas upp mindre än ramen = 2.31%</t>
        </r>
      </text>
    </comment>
    <comment ref="G7" authorId="0" shapeId="0" xr:uid="{00000000-0006-0000-0100-000002000000}">
      <text>
        <r>
          <rPr>
            <b/>
            <sz val="8"/>
            <color indexed="81"/>
            <rFont val="Tahoma"/>
            <family val="2"/>
          </rPr>
          <t>Nivåhöjning 1 april 2011:
480 kr / 21 273 kr = 2.26%
Kostnadshöjning efter det att hänsyn tagits till att lägstlöner och vissa förmåner räknas upp mindre än ramen = 2.11%</t>
        </r>
      </text>
    </comment>
    <comment ref="H7" authorId="0" shapeId="0" xr:uid="{00000000-0006-0000-0100-000003000000}">
      <text>
        <r>
          <rPr>
            <b/>
            <sz val="8"/>
            <color indexed="81"/>
            <rFont val="Tahoma"/>
            <family val="2"/>
          </rPr>
          <t>Nivåhöjning 1 april 2012:
650kr/(21273+480)=3,0%</t>
        </r>
        <r>
          <rPr>
            <sz val="8"/>
            <color indexed="81"/>
            <rFont val="Tahoma"/>
            <family val="2"/>
          </rPr>
          <t xml:space="preserve">
</t>
        </r>
      </text>
    </comment>
    <comment ref="I7" authorId="1" shapeId="0" xr:uid="{00000000-0006-0000-0100-000004000000}">
      <text>
        <r>
          <rPr>
            <b/>
            <sz val="9"/>
            <color indexed="81"/>
            <rFont val="Tahoma"/>
            <family val="2"/>
          </rPr>
          <t>Nivåhöjning 1 april 2013:</t>
        </r>
        <r>
          <rPr>
            <sz val="9"/>
            <color indexed="81"/>
            <rFont val="Tahoma"/>
            <family val="2"/>
          </rPr>
          <t xml:space="preserve">
550kr/22403=2,46%
</t>
        </r>
      </text>
    </comment>
    <comment ref="J7" authorId="1" shapeId="0" xr:uid="{00000000-0006-0000-0100-000005000000}">
      <text>
        <r>
          <rPr>
            <b/>
            <sz val="9"/>
            <color indexed="81"/>
            <rFont val="Tahoma"/>
            <family val="2"/>
          </rPr>
          <t xml:space="preserve">Nivåhöjning 1 april 2014:
550kr/(22403+550)=2,46%
</t>
        </r>
      </text>
    </comment>
    <comment ref="K7" authorId="1" shapeId="0" xr:uid="{00000000-0006-0000-0100-000006000000}">
      <text>
        <r>
          <rPr>
            <sz val="9"/>
            <color indexed="81"/>
            <rFont val="Tahoma"/>
            <family val="2"/>
          </rPr>
          <t xml:space="preserve">Nivåhöjning 1 april 2014:
600kr/(22953+600)=2,55%
</t>
        </r>
      </text>
    </comment>
    <comment ref="O7" authorId="2" shapeId="0" xr:uid="{00000000-0006-0000-0100-000007000000}">
      <text>
        <r>
          <rPr>
            <sz val="9"/>
            <color indexed="81"/>
            <rFont val="Tahoma"/>
            <family val="2"/>
          </rPr>
          <t>Tidigare felaktig startmånad för lönehöjningar 2019. Medel för året var 2,46 men fastställdes till 2,67 i OPI 2019. Korrigerat i OPI2021.</t>
        </r>
      </text>
    </comment>
    <comment ref="Q7" authorId="2" shapeId="0" xr:uid="{00000000-0006-0000-0100-000008000000}">
      <text>
        <r>
          <rPr>
            <sz val="9"/>
            <color indexed="81"/>
            <rFont val="Tahoma"/>
            <family val="2"/>
          </rPr>
          <t>Löneökning 2021 2,3%</t>
        </r>
      </text>
    </comment>
    <comment ref="R7" authorId="2" shapeId="0" xr:uid="{00000000-0006-0000-0100-000009000000}">
      <text>
        <r>
          <rPr>
            <sz val="9"/>
            <color indexed="81"/>
            <rFont val="Tahoma"/>
            <family val="2"/>
          </rPr>
          <t>Löneökning 2022 1,7%</t>
        </r>
      </text>
    </comment>
    <comment ref="S7" authorId="2" shapeId="0" xr:uid="{682AC476-A354-46D3-BA27-6ADF7A1EEE43}">
      <text>
        <r>
          <rPr>
            <sz val="9"/>
            <color indexed="81"/>
            <rFont val="Tahoma"/>
            <family val="2"/>
          </rPr>
          <t xml:space="preserve">Preliminär prognos 2023*:
2,45%
*Se bilaga </t>
        </r>
        <r>
          <rPr>
            <i/>
            <sz val="9"/>
            <color indexed="81"/>
            <rFont val="Tahoma"/>
            <family val="2"/>
          </rPr>
          <t>Komplettering till PM Prisindex för vård och omsorg</t>
        </r>
      </text>
    </comment>
    <comment ref="U7" authorId="3" shapeId="0" xr:uid="{B589C0EA-8D70-4628-A001-46262A3B6666}">
      <text>
        <r>
          <rPr>
            <sz val="9"/>
            <color indexed="81"/>
            <rFont val="Tahoma"/>
            <family val="2"/>
          </rPr>
          <t xml:space="preserve">Preliminär prognos 2024*: 
2,85%
*Se bilaga </t>
        </r>
        <r>
          <rPr>
            <i/>
            <sz val="9"/>
            <color indexed="81"/>
            <rFont val="Tahoma"/>
            <family val="2"/>
          </rPr>
          <t>Komplettering till PM Prisindex för vård och omsorg</t>
        </r>
      </text>
    </comment>
    <comment ref="L8" authorId="1" shapeId="0" xr:uid="{00000000-0006-0000-0100-00000A000000}">
      <text>
        <r>
          <rPr>
            <sz val="9"/>
            <color indexed="81"/>
            <rFont val="Tahoma"/>
            <family val="2"/>
          </rPr>
          <t xml:space="preserve">Genomsnittlig timlöne-ökning 2016 = 3,0%
</t>
        </r>
      </text>
    </comment>
    <comment ref="M8" authorId="1" shapeId="0" xr:uid="{00000000-0006-0000-0100-00000B000000}">
      <text>
        <r>
          <rPr>
            <sz val="9"/>
            <color indexed="81"/>
            <rFont val="Tahoma"/>
            <family val="2"/>
          </rPr>
          <t>Nivåhöjning 1 maj 2017 = 616 kr</t>
        </r>
      </text>
    </comment>
    <comment ref="N8" authorId="1" shapeId="0" xr:uid="{00000000-0006-0000-0100-00000C000000}">
      <text>
        <r>
          <rPr>
            <sz val="9"/>
            <color indexed="81"/>
            <rFont val="Tahoma"/>
            <family val="2"/>
          </rPr>
          <t>Nivåhöjning 1 maj 2018 = 621 kr</t>
        </r>
      </text>
    </comment>
    <comment ref="O8" authorId="1" shapeId="0" xr:uid="{00000000-0006-0000-0100-00000D000000}">
      <text>
        <r>
          <rPr>
            <sz val="9"/>
            <color indexed="81"/>
            <rFont val="Tahoma"/>
            <family val="2"/>
          </rPr>
          <t>Nivåhöjning 1 maj 2019 = 616 kr</t>
        </r>
      </text>
    </comment>
    <comment ref="P8" authorId="2" shapeId="0" xr:uid="{00000000-0006-0000-0100-00000E000000}">
      <text>
        <r>
          <rPr>
            <sz val="9"/>
            <color indexed="81"/>
            <rFont val="Tahoma"/>
            <family val="2"/>
          </rPr>
          <t>Engångsbelopp maj-okt = 5 500/26000/6</t>
        </r>
      </text>
    </comment>
    <comment ref="P14" authorId="2" shapeId="0" xr:uid="{00000000-0006-0000-0100-00000F000000}">
      <text>
        <r>
          <rPr>
            <sz val="9"/>
            <color indexed="81"/>
            <rFont val="Tahoma"/>
            <family val="2"/>
          </rPr>
          <t>Nivåhöjning 1 nov 2019 = 520+78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s>
  <commentList>
    <comment ref="A4" authorId="0" shapeId="0" xr:uid="{00000000-0006-0000-0200-000001000000}">
      <text>
        <r>
          <rPr>
            <sz val="8"/>
            <color indexed="81"/>
            <rFont val="Tahoma"/>
            <family val="2"/>
          </rPr>
          <t>2007-08: 18-24 år
2009- : 18-25 år</t>
        </r>
      </text>
    </comment>
    <comment ref="L4" authorId="1" shapeId="0" xr:uid="{00000000-0006-0000-0200-000002000000}">
      <text>
        <r>
          <rPr>
            <sz val="9"/>
            <color indexed="81"/>
            <rFont val="Tahoma"/>
            <family val="2"/>
          </rPr>
          <t>Arbetsgivaravgiften som gällde för 2015 när OPI beräknades i december 2014.</t>
        </r>
      </text>
    </comment>
    <comment ref="M4" authorId="1" shapeId="0" xr:uid="{00000000-0006-0000-0200-000003000000}">
      <text>
        <r>
          <rPr>
            <sz val="9"/>
            <color indexed="81"/>
            <rFont val="Tahoma"/>
            <family val="2"/>
          </rPr>
          <t>Arbetsgivaravgifterna höjs till 31,42% den 1/6.</t>
        </r>
      </text>
    </comment>
    <comment ref="T4" authorId="2" shapeId="0" xr:uid="{506B602D-92FC-42C6-8EA6-1CD24BB9AC43}">
      <text>
        <r>
          <rPr>
            <sz val="9"/>
            <color indexed="81"/>
            <rFont val="Tahoma"/>
            <family val="2"/>
          </rPr>
          <t>Arbetsgivaravgifterna höjs för ungdomar 19-23 from 1/4</t>
        </r>
      </text>
    </comment>
    <comment ref="R5" authorId="2" shapeId="0" xr:uid="{00000000-0006-0000-0200-000004000000}">
      <text>
        <r>
          <rPr>
            <sz val="9"/>
            <color indexed="81"/>
            <rFont val="Tahoma"/>
            <family val="2"/>
          </rPr>
          <t>Arbetsgivaravgifter sänks till 22,65 för 19-23 åringar from 1/4</t>
        </r>
      </text>
    </comment>
  </commentList>
</comments>
</file>

<file path=xl/sharedStrings.xml><?xml version="1.0" encoding="utf-8"?>
<sst xmlns="http://schemas.openxmlformats.org/spreadsheetml/2006/main" count="246" uniqueCount="208">
  <si>
    <t>Engångsbelopp</t>
  </si>
  <si>
    <t>jan</t>
  </si>
  <si>
    <t>feb</t>
  </si>
  <si>
    <t>mar</t>
  </si>
  <si>
    <t>apr</t>
  </si>
  <si>
    <t>maj</t>
  </si>
  <si>
    <t>jun</t>
  </si>
  <si>
    <t>jul</t>
  </si>
  <si>
    <t>aug</t>
  </si>
  <si>
    <t>sep</t>
  </si>
  <si>
    <t>okt</t>
  </si>
  <si>
    <t>nov</t>
  </si>
  <si>
    <t>dec</t>
  </si>
  <si>
    <t>Årskostnad, procent</t>
  </si>
  <si>
    <t>Avtalskalkyl, Kommunals grupper</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</si>
  <si>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</si>
  <si>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</si>
  <si>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</si>
  <si>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</si>
  <si>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</si>
  <si>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</si>
  <si>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</si>
  <si>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</si>
  <si>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</si>
  <si>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</si>
  <si>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</si>
  <si>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</si>
  <si>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</si>
  <si>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</si>
  <si>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</si>
  <si>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</si>
  <si>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</si>
  <si>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</si>
  <si>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</si>
  <si>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</si>
  <si>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</si>
  <si>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</si>
  <si>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</si>
  <si>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</si>
  <si>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</si>
  <si>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</si>
  <si>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</si>
  <si>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</si>
  <si>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</si>
  <si>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</si>
  <si>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</si>
  <si>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</si>
  <si>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</si>
  <si>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</si>
  <si>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</si>
  <si>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</si>
  <si>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</si>
  <si>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</si>
  <si>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</si>
  <si>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</si>
  <si>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</si>
  <si>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</si>
  <si>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</si>
  <si>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</si>
  <si>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</si>
  <si>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</si>
  <si>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</si>
  <si>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</si>
  <si>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KPI, 1980=100</t>
  </si>
  <si>
    <t>Procentuell förändring</t>
  </si>
  <si>
    <t>KPI, genomsnitt, dec-nov</t>
  </si>
  <si>
    <t>Årskostnad för löneavtal</t>
  </si>
  <si>
    <t>Löneökning utöver avtal (strukturförändring och löneglidning)</t>
  </si>
  <si>
    <t>Lagstadgade arbetsgivaravgifter</t>
  </si>
  <si>
    <t>Löneförändringarnas påverkan på semesterlöneskulden</t>
  </si>
  <si>
    <t>Summa lönekostnadsförändring</t>
  </si>
  <si>
    <t>KPI (genomsnittlig inflation 12 mån tom. nov året före)</t>
  </si>
  <si>
    <t>Omsorgsprisindex</t>
  </si>
  <si>
    <t>2004M12</t>
  </si>
  <si>
    <t>2005M01</t>
  </si>
  <si>
    <t>2005M02</t>
  </si>
  <si>
    <t>2005M03</t>
  </si>
  <si>
    <t>2005M04</t>
  </si>
  <si>
    <t>2005M05</t>
  </si>
  <si>
    <t>2005M06</t>
  </si>
  <si>
    <t>2005M07</t>
  </si>
  <si>
    <t>2005M08</t>
  </si>
  <si>
    <t>2005M09</t>
  </si>
  <si>
    <t>2005M10</t>
  </si>
  <si>
    <t>2005M11</t>
  </si>
  <si>
    <t>2005M12</t>
  </si>
  <si>
    <t>Källa: Räkenskapssammandragen</t>
  </si>
  <si>
    <t>Arbetsgivaravgifter ungdomar</t>
  </si>
  <si>
    <t>Arbetsgivaravgifter övriga</t>
  </si>
  <si>
    <t>Ihopvägning av arbetsgivaravgifterna:</t>
  </si>
  <si>
    <t>Vikt av lönesumman 18-24 år</t>
  </si>
  <si>
    <t>Vikt av lönesumman 18-25 år</t>
  </si>
  <si>
    <t>Vikt av lönesumman 25-64 år</t>
  </si>
  <si>
    <t>Vikt av lönesumman 26-64 år</t>
  </si>
  <si>
    <t>Arbetsgivaravgift inkl ungdomar</t>
  </si>
  <si>
    <t>Effekt på lönekostnaderna, samtliga ändringar</t>
  </si>
  <si>
    <t>Andel av lönesumman</t>
  </si>
  <si>
    <t>Externa löner (mdkr)</t>
  </si>
  <si>
    <t>Löner inkl arbetsgivaravgifter (mdkr)</t>
  </si>
  <si>
    <t>Upplupna semesterlöner (mdkr)</t>
  </si>
  <si>
    <t>Anm: På grund av att statistiken redovisas med nästan ett års eftersläpning</t>
  </si>
  <si>
    <t>Omsorgsprisindex*</t>
  </si>
  <si>
    <t xml:space="preserve"> * 80% lönekostnadsförändring och 20% KPI</t>
  </si>
  <si>
    <t>Årsgenomsnitt</t>
  </si>
  <si>
    <t>prel 2010</t>
  </si>
  <si>
    <t>def 2010</t>
  </si>
  <si>
    <t>2010M01</t>
  </si>
  <si>
    <t>2010M02</t>
  </si>
  <si>
    <t>2010M03</t>
  </si>
  <si>
    <t>2010M04</t>
  </si>
  <si>
    <t>2010M05</t>
  </si>
  <si>
    <t>2010M06</t>
  </si>
  <si>
    <t>2010M07</t>
  </si>
  <si>
    <t>2010M08</t>
  </si>
  <si>
    <t>2010M09</t>
  </si>
  <si>
    <t>2010M10</t>
  </si>
  <si>
    <t>2010M11</t>
  </si>
  <si>
    <t>2010M12</t>
  </si>
  <si>
    <t>def 2011</t>
  </si>
  <si>
    <t>2011M01</t>
  </si>
  <si>
    <t>2011M02</t>
  </si>
  <si>
    <t>2011M03</t>
  </si>
  <si>
    <t>2011M04</t>
  </si>
  <si>
    <t>2011M05</t>
  </si>
  <si>
    <t>2011M06</t>
  </si>
  <si>
    <t>2011M07</t>
  </si>
  <si>
    <t>2011M08</t>
  </si>
  <si>
    <t>2011M09</t>
  </si>
  <si>
    <t>2011M10</t>
  </si>
  <si>
    <t>2011M11</t>
  </si>
  <si>
    <t>prel 2012</t>
  </si>
  <si>
    <t>används semesterlöneskuldens andel 2008 för att beräkna effekten på lönekostnaderna 2010 osv.</t>
  </si>
  <si>
    <t>def 2012</t>
  </si>
  <si>
    <t>2011M12</t>
  </si>
  <si>
    <t>2012M01</t>
  </si>
  <si>
    <t>2012M02</t>
  </si>
  <si>
    <t>2012M03</t>
  </si>
  <si>
    <t>2012M04</t>
  </si>
  <si>
    <t>2012M05</t>
  </si>
  <si>
    <t>2012M06</t>
  </si>
  <si>
    <t>2012M07</t>
  </si>
  <si>
    <t>2012M08</t>
  </si>
  <si>
    <t>2012M09</t>
  </si>
  <si>
    <t>2012M10</t>
  </si>
  <si>
    <t>2012M11</t>
  </si>
  <si>
    <t>prel 2013</t>
  </si>
  <si>
    <t>def 2013</t>
  </si>
  <si>
    <t>OPI när verksamheten avslutas under loppet av respektive år</t>
  </si>
  <si>
    <t>def 2014</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</si>
  <si>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</si>
  <si>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</si>
  <si>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</si>
  <si>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</si>
  <si>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</si>
  <si>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</si>
  <si>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</si>
  <si>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</si>
  <si>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</si>
  <si>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</si>
  <si>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</si>
  <si>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</si>
  <si>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</si>
  <si>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</si>
  <si>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</si>
  <si>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</si>
  <si>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</si>
  <si>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</si>
  <si>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</si>
  <si>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</si>
  <si>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</si>
  <si>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</si>
  <si>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</si>
  <si>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</si>
  <si>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def 2015</t>
  </si>
  <si>
    <t>prel 2016</t>
  </si>
  <si>
    <t>2014M12</t>
  </si>
  <si>
    <t>2015M1</t>
  </si>
  <si>
    <t>2015M2</t>
  </si>
  <si>
    <t>2015M3</t>
  </si>
  <si>
    <t>2015M4</t>
  </si>
  <si>
    <t>2015M5</t>
  </si>
  <si>
    <t>2015M6</t>
  </si>
  <si>
    <t>2015M7</t>
  </si>
  <si>
    <t>2015M8</t>
  </si>
  <si>
    <t>2015M9</t>
  </si>
  <si>
    <t>2015M10</t>
  </si>
  <si>
    <t>2015M11</t>
  </si>
  <si>
    <t>2015M12</t>
  </si>
  <si>
    <t>Från och med 2014 används schablonen 6 procent.</t>
  </si>
  <si>
    <t>lagst avg</t>
  </si>
  <si>
    <t>KPI</t>
  </si>
  <si>
    <t>Lagstadgade avgifter</t>
  </si>
  <si>
    <t>Semesterlöneskuld</t>
  </si>
  <si>
    <t>OPI del av året</t>
  </si>
  <si>
    <t>prel 2017</t>
  </si>
  <si>
    <t>def 2016</t>
  </si>
  <si>
    <t>prel 2020</t>
  </si>
  <si>
    <t>def 2020</t>
  </si>
  <si>
    <t>Vikt av lönesumman 24-64 år</t>
  </si>
  <si>
    <t>Vikt av lönesumman 19-23 år</t>
  </si>
  <si>
    <t>S:a lön</t>
  </si>
  <si>
    <t>semester</t>
  </si>
  <si>
    <t>löneavtal</t>
  </si>
  <si>
    <t>prel 2023</t>
  </si>
  <si>
    <t>def 2023</t>
  </si>
  <si>
    <t>löneökning utöver avtal</t>
  </si>
  <si>
    <t>prel 2024</t>
  </si>
  <si>
    <t>def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</si>
</sst>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0.0"/>
    <numFmt numFmtId="165" formatCode="0.000000"/>
    <numFmt numFmtId="166" formatCode="0.0%"/>
    <numFmt numFmtId="167" formatCode="0.000"/>
  </numFmts>
  <fonts count="20" x14ac:knownFonts="1">
    <font>
      <sz val="10"/>
      <name val="Arial"/>
    </font>
    <font>
      <sz val="10"/>
      <name val="Arial"/>
      <family val="2"/>
    </font>
    <font>
      <b/>
      <sz val="10"/>
      <name val="Arial"/>
      <family val="2"/>
    </font>
    <font>
      <b/>
      <sz val="12"/>
      <name val="Arial"/>
      <family val="2"/>
    </font>
    <font>
      <sz val="8"/>
      <name val="Arial"/>
      <family val="2"/>
    </font>
    <font>
      <sz val="10"/>
      <color indexed="8"/>
      <name val="Arial"/>
      <family val="2"/>
    </font>
    <font>
      <b/>
      <sz val="10"/>
      <color indexed="8"/>
      <name val="Arial"/>
      <family val="2"/>
    </font>
    <font>
      <b/>
      <sz val="12"/>
      <color indexed="8"/>
      <name val="Arial"/>
      <family val="2"/>
    </font>
    <font>
      <b/>
      <sz val="14"/>
      <name val="Arial"/>
      <family val="2"/>
    </font>
    <font>
      <sz val="8"/>
      <color indexed="81"/>
      <name val="Tahoma"/>
      <family val="2"/>
    </font>
    <font>
      <b/>
      <sz val="8"/>
      <color indexed="81"/>
      <name val="Tahoma"/>
      <family val="2"/>
    </font>
    <font>
      <u/>
      <sz val="10"/>
      <color indexed="36"/>
      <name val="Arial"/>
      <family val="2"/>
    </font>
    <font>
      <sz val="10"/>
      <name val="MS Sans Serif"/>
      <family val="2"/>
    </font>
    <font>
      <b/>
      <sz val="12"/>
      <name val="Calibri"/>
      <family val="2"/>
    </font>
    <font>
      <b/>
      <sz val="9"/>
      <color indexed="81"/>
      <name val="Tahoma"/>
      <family val="2"/>
    </font>
    <font>
      <sz val="9"/>
      <color indexed="81"/>
      <name val="Tahoma"/>
      <family val="2"/>
    </font>
    <font>
      <sz val="10"/>
      <color rgb="FFFF0000"/>
      <name val="Arial"/>
      <family val="2"/>
    </font>
    <font>
      <sz val="11"/>
      <color rgb="FF000000"/>
      <name val="Calibri"/>
      <family val="2"/>
    </font>
    <font>
      <i/>
      <sz val="9"/>
      <color indexed="81"/>
      <name val="Tahoma"/>
      <family val="2"/>
    </font>
    <font>
      <b/>
      <sz val="10"/>
      <color rgb="FFFF0000"/>
      <name val="Arial"/>
      <family val="2"/>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8" fontId="12" fillId="0" borderId="0" applyFont="0" applyFill="0" applyBorder="0" applyAlignment="0" applyProtection="0"/>
    <xf numFmtId="6" fontId="12" fillId="0" borderId="0" applyFont="0" applyFill="0" applyBorder="0" applyAlignment="0" applyProtection="0"/>
    <xf numFmtId="0" fontId="17" fillId="0" borderId="0" applyNumberFormat="0" applyBorder="0" applyAlignment="0"/>
  </cellStyleXfs>
  <cellXfs count="57">
    <xf numFmtId="0" fontId="0" fillId="0" borderId="0" xfId="0"/>
    <xf numFmtId="0" fontId="0" fillId="0" borderId="1" xfId="0" applyBorder="1"/>
    <xf numFmtId="0" fontId="2" fillId="0" borderId="1" xfId="0" applyFont="1" applyBorder="1"/>
    <xf numFmtId="0" fontId="2" fillId="0" borderId="0" xfId="0" applyFont="1"/>
    <xf numFmtId="164" fontId="0" fillId="0" borderId="0" xfId="0" applyNumberFormat="1"/>
    <xf numFmtId="0" fontId="2" fillId="0" borderId="2" xfId="0" applyFont="1" applyBorder="1"/>
    <xf numFmtId="164" fontId="0" fillId="0" borderId="2" xfId="0" applyNumberFormat="1" applyBorder="1"/>
    <xf numFmtId="0" fontId="0" fillId="0" borderId="2" xfId="0" applyBorder="1"/>
    <xf numFmtId="0" fontId="3" fillId="0" borderId="0" xfId="0" applyFont="1"/>
    <xf numFmtId="0" fontId="1" fillId="0" borderId="0" xfId="0" applyFont="1"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xf numFmtId="0" fontId="2" fillId="0" borderId="0" xfId="0" applyFont="1" applyAlignment="1">
      <alignment wrapText="1"/>
    </xf>
    <xf numFmtId="0" fontId="5" fillId="0" borderId="3" xfId="0" applyFont="1" applyBorder="1" applyAlignment="1">
      <alignment vertical="top"/>
    </xf>
    <xf numFmtId="0" fontId="5" fillId="0" borderId="4" xfId="0" applyFont="1" applyBorder="1" applyAlignment="1">
      <alignment vertical="top"/>
    </xf>
    <xf numFmtId="0" fontId="6" fillId="0" borderId="4" xfId="0" applyFont="1" applyBorder="1" applyAlignment="1">
      <alignment vertical="top"/>
    </xf>
    <xf numFmtId="2" fontId="5" fillId="0" borderId="0" xfId="0" applyNumberFormat="1" applyFont="1" applyAlignment="1">
      <alignment horizontal="right" vertical="top"/>
    </xf>
    <xf numFmtId="0" fontId="6" fillId="0" borderId="5" xfId="0" applyFont="1" applyBorder="1" applyAlignment="1">
      <alignment vertical="top"/>
    </xf>
    <xf numFmtId="2" fontId="6" fillId="0" borderId="0" xfId="0" applyNumberFormat="1" applyFont="1" applyAlignment="1">
      <alignment horizontal="right" vertical="top"/>
    </xf>
    <xf numFmtId="0" fontId="7" fillId="0" borderId="6" xfId="0" applyFont="1" applyBorder="1" applyAlignment="1">
      <alignment vertical="top"/>
    </xf>
    <xf numFmtId="0" fontId="8" fillId="0" borderId="0" xfId="0" applyFont="1"/>
    <xf numFmtId="0" fontId="0" fillId="0" borderId="0" xfId="0" applyAlignment="1" applyProtection="1">
      <alignment horizontal="right"/>
      <protection locked="0"/>
    </xf>
    <xf numFmtId="166" fontId="7" fillId="0" borderId="7" xfId="2" applyNumberFormat="1" applyFont="1" applyBorder="1" applyAlignment="1">
      <alignment horizontal="right" vertical="top"/>
    </xf>
    <xf numFmtId="166" fontId="0" fillId="0" borderId="0" xfId="2" applyNumberFormat="1" applyFont="1"/>
    <xf numFmtId="10" fontId="0" fillId="0" borderId="0" xfId="2" applyNumberFormat="1" applyFont="1"/>
    <xf numFmtId="3" fontId="0" fillId="0" borderId="0" xfId="0" applyNumberFormat="1"/>
    <xf numFmtId="165" fontId="0" fillId="0" borderId="0" xfId="0" applyNumberFormat="1"/>
    <xf numFmtId="0" fontId="13" fillId="0" borderId="0" xfId="0" applyFont="1"/>
    <xf numFmtId="10" fontId="0" fillId="0" borderId="0" xfId="0" applyNumberFormat="1"/>
    <xf numFmtId="1" fontId="0" fillId="0" borderId="0" xfId="0" applyNumberFormat="1"/>
    <xf numFmtId="167" fontId="0" fillId="0" borderId="0" xfId="0" applyNumberFormat="1"/>
    <xf numFmtId="0" fontId="6" fillId="0" borderId="5" xfId="0" applyFont="1" applyBorder="1" applyAlignment="1">
      <alignment horizontal="right" vertical="top"/>
    </xf>
    <xf numFmtId="166" fontId="0" fillId="0" borderId="0" xfId="0" applyNumberFormat="1"/>
    <xf numFmtId="0" fontId="16" fillId="0" borderId="0" xfId="0" applyFont="1"/>
    <xf numFmtId="0" fontId="2" fillId="0" borderId="0" xfId="0" applyFont="1" applyAlignment="1">
      <alignment horizontal="right"/>
    </xf>
    <xf numFmtId="164" fontId="6" fillId="0" borderId="0" xfId="0" applyNumberFormat="1" applyFont="1" applyAlignment="1">
      <alignment horizontal="right" vertical="top"/>
    </xf>
    <xf numFmtId="164" fontId="0" fillId="0" borderId="0" xfId="2" applyNumberFormat="1" applyFont="1"/>
    <xf numFmtId="17" fontId="0" fillId="0" borderId="0" xfId="0" applyNumberFormat="1"/>
    <xf numFmtId="2" fontId="17" fillId="0" borderId="0" xfId="5" applyNumberFormat="1"/>
    <xf numFmtId="0" fontId="0" fillId="0" borderId="0" xfId="0" applyAlignment="1">
      <alignment wrapText="1"/>
    </xf>
    <xf numFmtId="0" fontId="1" fillId="0" borderId="0" xfId="0" applyFont="1" applyAlignment="1">
      <alignment wrapText="1"/>
    </xf>
    <xf numFmtId="164" fontId="2" fillId="0" borderId="0" xfId="0" applyNumberFormat="1" applyFont="1"/>
    <xf numFmtId="164" fontId="0" fillId="0" borderId="8" xfId="0" applyNumberFormat="1" applyBorder="1"/>
    <xf numFmtId="2" fontId="2" fillId="0" borderId="2" xfId="0" applyNumberFormat="1" applyFont="1" applyBorder="1"/>
    <xf numFmtId="0" fontId="1" fillId="0" borderId="0" xfId="0" applyFont="1"/>
    <xf numFmtId="10" fontId="2" fillId="0" borderId="0" xfId="2" applyNumberFormat="1" applyFont="1"/>
    <xf numFmtId="2" fontId="2" fillId="0" borderId="0" xfId="0" applyNumberFormat="1" applyFont="1"/>
    <xf numFmtId="2" fontId="16" fillId="0" borderId="0" xfId="0" applyNumberFormat="1" applyFont="1"/>
    <xf numFmtId="2" fontId="16" fillId="0" borderId="0" xfId="0" applyNumberFormat="1" applyFont="1" applyAlignment="1">
      <alignment horizontal="right" vertical="top"/>
    </xf>
    <xf numFmtId="0" fontId="2" fillId="0" borderId="1" xfId="0" applyFont="1" applyBorder="1" applyAlignment="1">
      <alignment horizontal="right"/>
    </xf>
    <xf numFmtId="10" fontId="2" fillId="0" borderId="0" xfId="0" applyNumberFormat="1" applyFont="1"/>
    <xf numFmtId="2" fontId="2" fillId="0" borderId="0" xfId="0" applyNumberFormat="1" applyFont="1" applyAlignment="1">
      <alignment horizontal="right" vertical="top"/>
    </xf>
    <xf numFmtId="0" fontId="19" fillId="0" borderId="0" xfId="0" applyFont="1" applyAlignment="1">
      <alignment horizontal="center" vertical="top"/>
    </xf>
    <xf numFmtId="2" fontId="1" fillId="0" borderId="0" xfId="0" applyNumberFormat="1" applyFont="1" applyAlignment="1">
      <alignment horizontal="right" vertical="top"/>
    </xf>
    <xf numFmtId="0" fontId="2" fillId="0" borderId="5" xfId="0" applyFont="1" applyBorder="1" applyAlignment="1">
      <alignment horizontal="right" vertical="top"/>
    </xf>
    <xf numFmtId="2" fontId="1" fillId="0" borderId="0" xfId="0" applyNumberFormat="1" applyFont="1"/>
    <xf numFmtId="166" fontId="3" fillId="0" borderId="7" xfId="2" applyNumberFormat="1" applyFont="1" applyBorder="1" applyAlignment="1">
      <alignment horizontal="right" vertical="top"/>
    </xf>
  </cellXfs>
  <cellStyles count="6">
    <cellStyle name="Följde hyperlänken" xfId="1" xr:uid="{00000000-0005-0000-0000-000000000000}"/>
    <cellStyle name="Normal" xfId="0" builtinId="0"/>
    <cellStyle name="Normal 2" xfId="5" xr:uid="{00000000-0005-0000-0000-000002000000}"/>
    <cellStyle name="Procent" xfId="2" builtinId="5"/>
    <cellStyle name="Tusental (0)_Kommunägda företag" xfId="3" xr:uid="{00000000-0005-0000-0000-000004000000}"/>
    <cellStyle name="Valuta (0)_Kommunägda företag"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38100</xdr:rowOff>
    </xdr:from>
    <xdr:to>
      <xdr:col>8</xdr:col>
      <xdr:colOff>317501</xdr:colOff>
      <xdr:row>10</xdr:row>
      <xdr:rowOff>107950</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76200" y="241300"/>
          <a:ext cx="4171951"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Om OPI används för omräkning av ersättning för verksamheten som avslutas under loppet av året gäller inte årssiffran för OPI (den är ett genomsnitt för hela året). Kostnaden för verksamhet som bara bedrivs under perioden januari – mars påverkas t.ex. inte av att lönerna höjs den 1 april. I stället ska OPI hämtas från tabellen nedan. Exempelvis ska kostnadsersättningen för verksamhet som bara bedrivs till och med april 2023 räknas upp med 2,0 procent jämfört med ersättningen 2022.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4"/>
  <sheetViews>
    <sheetView tabSelected="1" view="pageLayout" zoomScaleNormal="90" workbookViewId="0">
      <selection activeCell="V25" sqref="V25"/>
    </sheetView>
  </sheetViews>
  <sheetFormatPr defaultColWidth="9.140625" defaultRowHeight="12.75" x14ac:dyDescent="0.2"/>
  <cols>
    <col min="1" max="1" width="50.140625" customWidth="1"/>
    <col min="2" max="4" width="6.7109375" hidden="1" customWidth="1"/>
    <col min="5" max="16" width="8.7109375" hidden="1" customWidth="1"/>
    <col min="17" max="17" width="9.28515625" hidden="1" customWidth="1"/>
    <col min="18" max="18" width="7.28515625" hidden="1" customWidth="1"/>
    <col min="19" max="19" width="6.7109375" hidden="1" customWidth="1"/>
    <col min="21" max="22" width="8.42578125" bestFit="1" customWidth="1"/>
  </cols>
  <sheetData>
    <row r="1" spans="1:28" ht="18" x14ac:dyDescent="0.25">
      <c r="A1" s="20" t="s">
        <v>72</v>
      </c>
    </row>
    <row r="3" spans="1:28" ht="13.5" thickBot="1" x14ac:dyDescent="0.25"/>
    <row r="4" spans="1:28" ht="13.5" thickBot="1" x14ac:dyDescent="0.25">
      <c r="A4" s="13"/>
      <c r="B4" s="17">
        <v>2007</v>
      </c>
      <c r="C4" s="17">
        <v>2008</v>
      </c>
      <c r="D4" s="17">
        <v>2009</v>
      </c>
      <c r="E4" s="31" t="s">
        <v>104</v>
      </c>
      <c r="F4" s="31" t="s">
        <v>105</v>
      </c>
      <c r="G4" s="31" t="s">
        <v>118</v>
      </c>
      <c r="H4" s="31" t="s">
        <v>130</v>
      </c>
      <c r="I4" s="31" t="s">
        <v>132</v>
      </c>
      <c r="J4" s="31" t="s">
        <v>145</v>
      </c>
      <c r="K4" s="31" t="s">
        <v>146</v>
      </c>
      <c r="L4" s="31" t="s">
        <v>148</v>
      </c>
      <c r="M4" s="31" t="s">
        <v>173</v>
      </c>
      <c r="N4" s="31" t="s">
        <v>174</v>
      </c>
      <c r="O4" s="31" t="s">
        <v>195</v>
      </c>
      <c r="P4" s="31" t="s">
        <v>194</v>
      </c>
      <c r="Q4" s="31">
        <v>2017</v>
      </c>
      <c r="R4" s="31">
        <v>2018</v>
      </c>
      <c r="S4" s="31">
        <v>2019</v>
      </c>
      <c r="T4" s="31" t="s">
        <v>196</v>
      </c>
      <c r="U4" s="31" t="s">
        <v>197</v>
      </c>
      <c r="V4" s="31">
        <v>2021</v>
      </c>
      <c r="W4" s="31">
        <v>2022</v>
      </c>
      <c r="X4" s="31" t="s">
        <v>203</v>
      </c>
      <c r="Y4" s="31" t="s">
        <v>204</v>
      </c>
      <c r="Z4" s="54" t="s">
        <v>206</v>
      </c>
      <c r="AA4" s="54" t="s">
        <v>207</v>
      </c>
      <c r="AB4" s="52"/>
    </row>
    <row r="5" spans="1:28" x14ac:dyDescent="0.2">
      <c r="A5" s="14" t="s">
        <v>66</v>
      </c>
      <c r="B5" s="16">
        <f>+Löneavtal!C17</f>
        <v>3.2244334327289792</v>
      </c>
      <c r="C5" s="16">
        <f>+Löneavtal!D17</f>
        <v>6.7014864864865444</v>
      </c>
      <c r="D5" s="16">
        <f>+Löneavtal!E17</f>
        <v>2.9549999999999699</v>
      </c>
      <c r="E5" s="16">
        <v>0.96</v>
      </c>
      <c r="F5" s="16">
        <f>+Löneavtal!F17</f>
        <v>2.7058039920353281</v>
      </c>
      <c r="G5" s="16">
        <f>+Löneavtal!G17</f>
        <v>2.1591485021994004</v>
      </c>
      <c r="H5" s="16">
        <v>0.51928235670513345</v>
      </c>
      <c r="I5" s="16">
        <f>+Löneavtal!H17</f>
        <v>2.7719900360548451</v>
      </c>
      <c r="J5" s="16">
        <v>0.73</v>
      </c>
      <c r="K5" s="16">
        <f>+Löneavtal!I17</f>
        <v>2.5853735302713261</v>
      </c>
      <c r="L5" s="16">
        <f>+Löneavtal!J17</f>
        <v>2.4106418881900709</v>
      </c>
      <c r="M5" s="16">
        <f>+Löneavtal!K17</f>
        <v>2.5103024017485183</v>
      </c>
      <c r="N5" s="16">
        <v>0.62</v>
      </c>
      <c r="O5" s="16">
        <f>+Löneavtal!L17</f>
        <v>2.6374203224596897</v>
      </c>
      <c r="P5" s="16">
        <v>0.98</v>
      </c>
      <c r="Q5" s="16">
        <f>+Löneavtal!M17</f>
        <v>2.6897895970400754</v>
      </c>
      <c r="R5" s="16">
        <f>+Löneavtal!N17</f>
        <v>2.5530275742768822</v>
      </c>
      <c r="S5" s="16">
        <v>2.6661907228845934</v>
      </c>
      <c r="T5" s="16">
        <v>0.59326604514984638</v>
      </c>
      <c r="U5" s="16">
        <v>2.9557528009817986</v>
      </c>
      <c r="V5" s="16">
        <v>1.6782118382408442</v>
      </c>
      <c r="W5" s="16">
        <f>Löneavtal!R17</f>
        <v>1.8474563774882853</v>
      </c>
      <c r="X5" s="11">
        <f>Löneavtal!S17</f>
        <v>2.2648605282646059</v>
      </c>
      <c r="Y5" s="11">
        <f>Löneavtal!T17</f>
        <v>3.5075536904467697</v>
      </c>
      <c r="Z5" s="55">
        <f>Löneavtal!U17</f>
        <v>3.1531772980839605</v>
      </c>
      <c r="AA5" s="55">
        <f>Löneavtal!V17</f>
        <v>3.4940334707737009</v>
      </c>
      <c r="AB5" s="47"/>
    </row>
    <row r="6" spans="1:28" x14ac:dyDescent="0.2">
      <c r="A6" s="14" t="s">
        <v>67</v>
      </c>
      <c r="B6" s="16">
        <v>0.1</v>
      </c>
      <c r="C6" s="16">
        <v>0.1</v>
      </c>
      <c r="D6" s="16">
        <v>0.1</v>
      </c>
      <c r="E6" s="16">
        <v>0.1</v>
      </c>
      <c r="F6" s="16">
        <v>0.1</v>
      </c>
      <c r="G6" s="16">
        <v>0.1</v>
      </c>
      <c r="H6" s="16">
        <v>0.1</v>
      </c>
      <c r="I6" s="16">
        <v>0.1</v>
      </c>
      <c r="J6" s="16">
        <v>0.1</v>
      </c>
      <c r="K6" s="16">
        <v>0.1</v>
      </c>
      <c r="L6" s="16">
        <v>0.1</v>
      </c>
      <c r="M6" s="16">
        <v>0.1</v>
      </c>
      <c r="N6" s="16">
        <v>0.1</v>
      </c>
      <c r="O6" s="16">
        <v>0.1</v>
      </c>
      <c r="P6" s="16">
        <v>0.1</v>
      </c>
      <c r="Q6" s="16">
        <v>0.1</v>
      </c>
      <c r="R6" s="16">
        <v>0.1</v>
      </c>
      <c r="S6" s="16">
        <v>0.1</v>
      </c>
      <c r="T6" s="16">
        <v>0.1</v>
      </c>
      <c r="U6" s="16">
        <v>0.1</v>
      </c>
      <c r="V6" s="16">
        <v>0.1</v>
      </c>
      <c r="W6" s="16">
        <v>0.1</v>
      </c>
      <c r="X6" s="16">
        <v>0.1</v>
      </c>
      <c r="Y6" s="16">
        <v>0.1</v>
      </c>
      <c r="Z6" s="53">
        <v>0.1</v>
      </c>
      <c r="AA6" s="53">
        <v>0.1</v>
      </c>
      <c r="AB6" s="33"/>
    </row>
    <row r="7" spans="1:28" x14ac:dyDescent="0.2">
      <c r="A7" s="14" t="s">
        <v>68</v>
      </c>
      <c r="B7" s="16">
        <f>+'Lagstadgade avgifter'!D16</f>
        <v>-2.2622467493182974E-2</v>
      </c>
      <c r="C7" s="16">
        <f>+'Lagstadgade avgifter'!E16</f>
        <v>-0.16553865848470961</v>
      </c>
      <c r="D7" s="16">
        <f>+'Lagstadgade avgifter'!F16</f>
        <v>-0.99979057972303664</v>
      </c>
      <c r="E7" s="16">
        <v>0</v>
      </c>
      <c r="F7" s="16">
        <f>+'Lagstadgade avgifter'!G16</f>
        <v>0</v>
      </c>
      <c r="G7" s="16">
        <f>+'Lagstadgade avgifter'!H16</f>
        <v>0</v>
      </c>
      <c r="H7" s="16">
        <v>0</v>
      </c>
      <c r="I7" s="16">
        <f>+'Lagstadgade avgifter'!I16</f>
        <v>0</v>
      </c>
      <c r="J7" s="16">
        <f>+'Lagstadgade avgifter'!J16</f>
        <v>0</v>
      </c>
      <c r="K7" s="16">
        <f>+'Lagstadgade avgifter'!J16</f>
        <v>0</v>
      </c>
      <c r="L7" s="16">
        <f>+'Lagstadgade avgifter'!K16</f>
        <v>0</v>
      </c>
      <c r="M7" s="16">
        <f>+'Lagstadgade avgifter'!L16</f>
        <v>0</v>
      </c>
      <c r="N7" s="16">
        <f>+'Lagstadgade avgifter'!M16</f>
        <v>0.44087681449278548</v>
      </c>
      <c r="O7" s="16">
        <f>+'Lagstadgade avgifter'!M16</f>
        <v>0.44087681449278548</v>
      </c>
      <c r="P7" s="16">
        <f>+'Lagstadgade avgifter'!N16</f>
        <v>0.10100741586833717</v>
      </c>
      <c r="Q7" s="16">
        <f>+'Lagstadgade avgifter'!N16</f>
        <v>0.10100741586833717</v>
      </c>
      <c r="R7" s="16">
        <f>+'Lagstadgade avgifter'!O16</f>
        <v>0</v>
      </c>
      <c r="S7" s="16">
        <v>0</v>
      </c>
      <c r="T7" s="16">
        <v>0</v>
      </c>
      <c r="U7" s="16">
        <v>0</v>
      </c>
      <c r="V7" s="16">
        <v>-0.18012669304520168</v>
      </c>
      <c r="W7" s="16">
        <f>'Lagstadgade avgifter'!S16</f>
        <v>-6.0150578262552212E-2</v>
      </c>
      <c r="X7" s="16">
        <f>'Lagstadgade avgifter'!T16</f>
        <v>0.18056034287796674</v>
      </c>
      <c r="Y7" s="16">
        <f>'Lagstadgade avgifter'!T16</f>
        <v>0.18056034287796674</v>
      </c>
      <c r="Z7" s="53">
        <f>'Lagstadgade avgifter'!U16</f>
        <v>6.0078303368782393E-2</v>
      </c>
      <c r="AA7" s="53">
        <f>'Lagstadgade avgifter'!U16</f>
        <v>6.0078303368782393E-2</v>
      </c>
      <c r="AB7" s="47"/>
    </row>
    <row r="8" spans="1:28" ht="13.5" customHeight="1" x14ac:dyDescent="0.2">
      <c r="A8" s="14" t="s">
        <v>69</v>
      </c>
      <c r="B8" s="16">
        <f>+Semesterlöneskuld!B8*OPI!B5</f>
        <v>0.2080282044761454</v>
      </c>
      <c r="C8" s="16">
        <f>+Semesterlöneskuld!B8*OPI!C5</f>
        <v>0.4323544679057188</v>
      </c>
      <c r="D8" s="16">
        <f>+Semesterlöneskuld!C8*OPI!D5</f>
        <v>0.1836418886700972</v>
      </c>
      <c r="E8" s="16">
        <v>0.06</v>
      </c>
      <c r="F8" s="16">
        <f>+Semesterlöneskuld!D8*OPI!F5</f>
        <v>0.16176216375972272</v>
      </c>
      <c r="G8" s="16">
        <f>+Semesterlöneskuld!E8*OPI!G5</f>
        <v>0.12888648946991429</v>
      </c>
      <c r="H8" s="16">
        <v>3.0964864600012004E-2</v>
      </c>
      <c r="I8" s="16">
        <f>+Semesterlöneskuld!F8*OPI!I5</f>
        <v>0.16529407369748239</v>
      </c>
      <c r="J8" s="16">
        <f>+Semesterlöneskuld!G8*OPI!J5</f>
        <v>4.5116468422097447E-2</v>
      </c>
      <c r="K8" s="16">
        <f>+Semesterlöneskuld!G8*OPI!K5</f>
        <v>0.15978482635316835</v>
      </c>
      <c r="L8" s="16">
        <f>+Semesterlöneskuld!H8*OPI!L5</f>
        <v>0.13538219394571724</v>
      </c>
      <c r="M8" s="16">
        <f>+Semesterlöneskuld!I8*OPI!M5</f>
        <v>0.14237774236937734</v>
      </c>
      <c r="N8" s="16">
        <f>+Semesterlöneskuld!J8*OPI!N5</f>
        <v>3.7199999999999997E-2</v>
      </c>
      <c r="O8" s="16">
        <f>+Semesterlöneskuld!K8*OPI!N5</f>
        <v>3.7199999999999997E-2</v>
      </c>
      <c r="P8" s="16">
        <f>+Semesterlöneskuld!M8*(OPI!P5+O5-N5)</f>
        <v>0.17984521934758138</v>
      </c>
      <c r="Q8" s="16">
        <f>+Semesterlöneskuld!M8*(OPI!Q5+O5-N5)</f>
        <v>0.28243259516998587</v>
      </c>
      <c r="R8" s="16">
        <f>+Semesterlöneskuld!N8*OPI!R5</f>
        <v>0.15318165445661291</v>
      </c>
      <c r="S8" s="16">
        <v>0.15997144337307559</v>
      </c>
      <c r="T8" s="16">
        <v>3.5595962708990785E-2</v>
      </c>
      <c r="U8" s="16">
        <v>0.1773451680589079</v>
      </c>
      <c r="V8" s="16">
        <v>0.10069271029445065</v>
      </c>
      <c r="W8" s="16">
        <f>W5*0.06</f>
        <v>0.11084738264929711</v>
      </c>
      <c r="X8" s="16">
        <f>X5*0.06</f>
        <v>0.13589163169587634</v>
      </c>
      <c r="Y8" s="16">
        <f>Y5*0.06</f>
        <v>0.21045322142680617</v>
      </c>
      <c r="Z8" s="53">
        <f>Z5*0.06</f>
        <v>0.18919063788503762</v>
      </c>
      <c r="AA8" s="53">
        <f>AA5*0.06</f>
        <v>0.20964200824642204</v>
      </c>
      <c r="AB8" s="48"/>
    </row>
    <row r="9" spans="1:28" x14ac:dyDescent="0.2">
      <c r="A9" s="15" t="s">
        <v>70</v>
      </c>
      <c r="B9" s="18">
        <f>+B5+B6+B7+B8</f>
        <v>3.5098391697119418</v>
      </c>
      <c r="C9" s="18">
        <f>+C5+C6+C7+C8</f>
        <v>7.0683022959075528</v>
      </c>
      <c r="D9" s="18">
        <f>+D5+D6+D7+D8</f>
        <v>2.2388513089470305</v>
      </c>
      <c r="E9" s="18">
        <v>1.1100000000000001</v>
      </c>
      <c r="F9" s="18">
        <f>+F5+F6+F7+F8</f>
        <v>2.9675661557950508</v>
      </c>
      <c r="G9" s="18">
        <f>+G5+G6+G7+G8</f>
        <v>2.3880349916693149</v>
      </c>
      <c r="H9" s="18">
        <v>0.65024722130514545</v>
      </c>
      <c r="I9" s="18">
        <f t="shared" ref="I9:N9" si="0">+I5+I6+I7+I8</f>
        <v>3.0372841097523278</v>
      </c>
      <c r="J9" s="18">
        <f t="shared" si="0"/>
        <v>0.87511646842209745</v>
      </c>
      <c r="K9" s="18">
        <f t="shared" si="0"/>
        <v>2.8451583566244945</v>
      </c>
      <c r="L9" s="18">
        <f t="shared" si="0"/>
        <v>2.6460240821357881</v>
      </c>
      <c r="M9" s="18">
        <f t="shared" si="0"/>
        <v>2.7526801441178956</v>
      </c>
      <c r="N9" s="18">
        <f t="shared" si="0"/>
        <v>1.1980768144927854</v>
      </c>
      <c r="O9" s="18">
        <f t="shared" ref="O9" si="1">+O5+O6+O7+O8</f>
        <v>3.2154971369524752</v>
      </c>
      <c r="P9" s="18">
        <f>+P5+P6+P7+P8</f>
        <v>1.3608526352159187</v>
      </c>
      <c r="Q9" s="18">
        <f>+Q5+Q6+Q7+Q8</f>
        <v>3.1732296080783984</v>
      </c>
      <c r="R9" s="18">
        <f>+R5+R6+R7+R8</f>
        <v>2.8062092287334952</v>
      </c>
      <c r="S9" s="18">
        <v>2.9261621662576691</v>
      </c>
      <c r="T9" s="18">
        <v>0.72886200785883715</v>
      </c>
      <c r="U9" s="18">
        <v>3.2330979690407067</v>
      </c>
      <c r="V9" s="18">
        <v>1.6987778554900932</v>
      </c>
      <c r="W9" s="18">
        <f>SUM(W5:W8)</f>
        <v>1.9981531818750302</v>
      </c>
      <c r="X9" s="18">
        <f>SUM(X5:X8)</f>
        <v>2.6813125028384492</v>
      </c>
      <c r="Y9" s="18">
        <f>SUM(Y5:Y8)</f>
        <v>3.9985672547515425</v>
      </c>
      <c r="Z9" s="51">
        <f>SUM(Z5:Z8)</f>
        <v>3.5024462393377807</v>
      </c>
      <c r="AA9" s="51">
        <f>SUM(AA5:AA8)</f>
        <v>3.8637537823889052</v>
      </c>
      <c r="AB9" s="47"/>
    </row>
    <row r="10" spans="1:28" x14ac:dyDescent="0.2">
      <c r="A10" s="15" t="s">
        <v>71</v>
      </c>
      <c r="B10" s="18">
        <f>+KPI!D26</f>
        <v>1.2951672862453467</v>
      </c>
      <c r="C10" s="18">
        <f>+KPI!D38</f>
        <v>2.0607448510738369</v>
      </c>
      <c r="D10" s="18">
        <f>+KPI!D50</f>
        <v>3.6945090097346478</v>
      </c>
      <c r="E10" s="18">
        <v>-0.32</v>
      </c>
      <c r="F10" s="18">
        <f>+KPI!D62</f>
        <v>-0.3179209192519683</v>
      </c>
      <c r="G10" s="18">
        <f>+KPI!D74</f>
        <v>1.1488334942850509</v>
      </c>
      <c r="H10" s="18">
        <v>2.6581446090097938</v>
      </c>
      <c r="I10" s="18">
        <f>+KPI!D86</f>
        <v>2.6581446090097938</v>
      </c>
      <c r="J10" s="18">
        <f>+KPI!D98</f>
        <v>1.0565248854225384</v>
      </c>
      <c r="K10" s="35">
        <f>+KPI!D98</f>
        <v>1.0565248854225384</v>
      </c>
      <c r="L10" s="35">
        <f>+KPI!D110</f>
        <v>-6.020389760563738E-2</v>
      </c>
      <c r="M10" s="35">
        <f>+KPI!D122</f>
        <v>-0.14197571817158305</v>
      </c>
      <c r="N10" s="35">
        <f>+KPI!D134</f>
        <v>-7.7333971139281754E-2</v>
      </c>
      <c r="O10" s="35">
        <f>+KPI!D134</f>
        <v>-7.7333971139281754E-2</v>
      </c>
      <c r="P10" s="18">
        <f>+KPI!D146</f>
        <v>0.84308734863656198</v>
      </c>
      <c r="Q10" s="18">
        <v>0.79</v>
      </c>
      <c r="R10" s="18">
        <f>+KPI!D157</f>
        <v>1.7005221303224349</v>
      </c>
      <c r="S10" s="18">
        <v>1.9201776942817661</v>
      </c>
      <c r="T10" s="18">
        <v>1.821371196671917</v>
      </c>
      <c r="U10" s="18">
        <v>1.821371196671917</v>
      </c>
      <c r="V10" s="18">
        <v>0.73561953817495862</v>
      </c>
      <c r="W10" s="18">
        <f>KPI!D205</f>
        <v>1.6218349521069708</v>
      </c>
      <c r="X10" s="18">
        <f>KPI!D217</f>
        <v>6.9719670453407545</v>
      </c>
      <c r="Y10" s="18">
        <f>KPI!D217</f>
        <v>6.9719670453407545</v>
      </c>
      <c r="Z10" s="51">
        <f>KPI!D229</f>
        <v>9.7067050267721342</v>
      </c>
      <c r="AA10" s="51">
        <f>KPI!D229</f>
        <v>9.7067050267721342</v>
      </c>
      <c r="AB10" s="51"/>
    </row>
    <row r="11" spans="1:28" ht="16.5" thickBot="1" x14ac:dyDescent="0.25">
      <c r="A11" s="19" t="s">
        <v>101</v>
      </c>
      <c r="B11" s="22">
        <f>((0.8*B9)+(0.2*B10))/100</f>
        <v>3.0669047930186228E-2</v>
      </c>
      <c r="C11" s="22">
        <f>((0.8*C9)+(0.2*C10))/100</f>
        <v>6.0667908069408104E-2</v>
      </c>
      <c r="D11" s="22">
        <f>((0.8*D9)+(0.2*D10))/100</f>
        <v>2.5299828491045541E-2</v>
      </c>
      <c r="E11" s="22">
        <v>8.0000000000000002E-3</v>
      </c>
      <c r="F11" s="22">
        <f>((0.8*F9)+(0.2*F10))/100</f>
        <v>2.3104687407856473E-2</v>
      </c>
      <c r="G11" s="22">
        <f>((0.8*G9)+(0.2*G10))/100</f>
        <v>2.1401946921924622E-2</v>
      </c>
      <c r="H11" s="22">
        <v>1.0518266988460751E-2</v>
      </c>
      <c r="I11" s="22">
        <f t="shared" ref="I11:N11" si="2">((0.8*I9)+(0.2*I10))/100</f>
        <v>2.9614562096038209E-2</v>
      </c>
      <c r="J11" s="22">
        <f t="shared" si="2"/>
        <v>9.1139815182218562E-3</v>
      </c>
      <c r="K11" s="22">
        <f t="shared" si="2"/>
        <v>2.4874316623841035E-2</v>
      </c>
      <c r="L11" s="22">
        <f t="shared" si="2"/>
        <v>2.1047784861875033E-2</v>
      </c>
      <c r="M11" s="22">
        <f t="shared" si="2"/>
        <v>2.1737489716599997E-2</v>
      </c>
      <c r="N11" s="22">
        <f t="shared" si="2"/>
        <v>9.4299465736637205E-3</v>
      </c>
      <c r="O11" s="22">
        <f t="shared" ref="O11" si="3">((0.8*O9)+(0.2*O10))/100</f>
        <v>2.5569309153341241E-2</v>
      </c>
      <c r="P11" s="22">
        <f>((0.8*P9)+(0.2*P10))/100</f>
        <v>1.2572995779000474E-2</v>
      </c>
      <c r="Q11" s="22">
        <f>((0.8*Q9)+(0.2*Q10))/100</f>
        <v>2.6965836864627186E-2</v>
      </c>
      <c r="R11" s="22">
        <f>((0.8*R9)+(0.2*R10))/100</f>
        <v>2.5850718090512835E-2</v>
      </c>
      <c r="S11" s="22">
        <v>2.7249652718624885E-2</v>
      </c>
      <c r="T11" s="22">
        <v>9.4736384562145309E-3</v>
      </c>
      <c r="U11" s="22">
        <v>2.950752614566949E-2</v>
      </c>
      <c r="V11" s="22">
        <v>1.5061461920270665E-2</v>
      </c>
      <c r="W11" s="22">
        <f>(W9*0.8+W10*0.2)/100</f>
        <v>1.9228895359214185E-2</v>
      </c>
      <c r="X11" s="22">
        <f>(X9*0.8+X10*0.2)/100</f>
        <v>3.5394434113389106E-2</v>
      </c>
      <c r="Y11" s="22">
        <f>(Y9*0.8+Y10*0.2)/100</f>
        <v>4.5932472128693849E-2</v>
      </c>
      <c r="Z11" s="56">
        <f>(Z9*0.8+Z10*0.2)/100</f>
        <v>4.7432979968246511E-2</v>
      </c>
      <c r="AA11" s="56">
        <f>(AA9*0.8+AA10*0.2)/100</f>
        <v>5.032344031265551E-2</v>
      </c>
      <c r="AB11" s="51"/>
    </row>
    <row r="12" spans="1:28" x14ac:dyDescent="0.2">
      <c r="AB12" s="51"/>
    </row>
    <row r="13" spans="1:28" x14ac:dyDescent="0.2">
      <c r="A13" t="s">
        <v>102</v>
      </c>
      <c r="AB13" s="51"/>
    </row>
    <row r="18" spans="7:10" x14ac:dyDescent="0.2">
      <c r="G18" s="11"/>
      <c r="H18" s="11"/>
      <c r="I18" s="11"/>
      <c r="J18" s="11"/>
    </row>
    <row r="19" spans="7:10" x14ac:dyDescent="0.2">
      <c r="G19" s="11"/>
      <c r="H19" s="11"/>
      <c r="I19" s="11"/>
      <c r="J19" s="11"/>
    </row>
    <row r="20" spans="7:10" x14ac:dyDescent="0.2">
      <c r="G20" s="11"/>
      <c r="H20" s="11"/>
      <c r="I20" s="11"/>
      <c r="J20" s="11"/>
    </row>
    <row r="21" spans="7:10" x14ac:dyDescent="0.2">
      <c r="G21" s="11"/>
      <c r="H21" s="11"/>
      <c r="I21" s="11"/>
      <c r="J21" s="11"/>
    </row>
    <row r="22" spans="7:10" x14ac:dyDescent="0.2">
      <c r="G22" s="11"/>
      <c r="H22" s="11"/>
      <c r="I22" s="11"/>
      <c r="J22" s="11"/>
    </row>
    <row r="23" spans="7:10" x14ac:dyDescent="0.2">
      <c r="G23" s="11"/>
      <c r="H23" s="11"/>
      <c r="I23" s="11"/>
      <c r="J23" s="11"/>
    </row>
    <row r="24" spans="7:10" x14ac:dyDescent="0.2">
      <c r="G24" s="32"/>
      <c r="H24" s="32"/>
      <c r="I24" s="32"/>
      <c r="J24" s="32"/>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&amp;C2023-04-18&amp;R&amp;A</oddHeader>
    <oddFooter>&amp;L&amp;F&amp;C&amp;P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6"/>
  <sheetViews>
    <sheetView view="pageLayout" topLeftCell="E1" zoomScale="110" zoomScaleNormal="100" zoomScalePageLayoutView="110" workbookViewId="0">
      <selection activeCell="V19" sqref="V19"/>
    </sheetView>
  </sheetViews>
  <sheetFormatPr defaultRowHeight="12.75" x14ac:dyDescent="0.2"/>
  <cols>
    <col min="1" max="1" width="13.42578125" customWidth="1"/>
    <col min="11" max="11" width="10.5703125" bestFit="1" customWidth="1"/>
    <col min="13" max="13" width="9.85546875" bestFit="1" customWidth="1"/>
    <col min="15" max="15" width="12.42578125" bestFit="1" customWidth="1"/>
    <col min="26" max="40" width="5.140625" customWidth="1"/>
  </cols>
  <sheetData>
    <row r="1" spans="1:40" ht="15.75" x14ac:dyDescent="0.25">
      <c r="A1" s="8" t="s">
        <v>14</v>
      </c>
      <c r="Y1" s="3" t="s">
        <v>0</v>
      </c>
    </row>
    <row r="3" spans="1:40" x14ac:dyDescent="0.2">
      <c r="A3" s="1"/>
      <c r="B3" s="2">
        <v>2006</v>
      </c>
      <c r="C3" s="2">
        <v>2007</v>
      </c>
      <c r="D3" s="2">
        <v>2008</v>
      </c>
      <c r="E3" s="2">
        <v>2009</v>
      </c>
      <c r="F3" s="2">
        <v>2010</v>
      </c>
      <c r="G3" s="2">
        <v>2011</v>
      </c>
      <c r="H3" s="2">
        <v>2012</v>
      </c>
      <c r="I3" s="2">
        <v>2013</v>
      </c>
      <c r="J3" s="2">
        <v>2014</v>
      </c>
      <c r="K3" s="2">
        <v>2015</v>
      </c>
      <c r="L3" s="2">
        <v>2016</v>
      </c>
      <c r="M3" s="2">
        <v>2017</v>
      </c>
      <c r="N3" s="2">
        <v>2018</v>
      </c>
      <c r="O3" s="2">
        <v>2019</v>
      </c>
      <c r="P3" s="2">
        <v>2020</v>
      </c>
      <c r="Q3" s="2">
        <v>2021</v>
      </c>
      <c r="R3" s="2">
        <v>2022</v>
      </c>
      <c r="S3" s="49" t="s">
        <v>203</v>
      </c>
      <c r="T3" s="2">
        <v>2023</v>
      </c>
      <c r="U3" s="49" t="s">
        <v>206</v>
      </c>
      <c r="V3" s="49">
        <v>2024</v>
      </c>
      <c r="W3" s="44"/>
      <c r="Y3" s="1"/>
      <c r="Z3" s="2">
        <v>2006</v>
      </c>
      <c r="AA3" s="2">
        <v>2007</v>
      </c>
      <c r="AB3" s="2">
        <v>2008</v>
      </c>
      <c r="AC3" s="2">
        <v>2009</v>
      </c>
      <c r="AD3" s="2">
        <v>2010</v>
      </c>
      <c r="AE3" s="2">
        <v>2011</v>
      </c>
      <c r="AF3" s="2">
        <v>2012</v>
      </c>
      <c r="AG3" s="2">
        <v>2013</v>
      </c>
      <c r="AH3" s="2">
        <v>2014</v>
      </c>
      <c r="AI3" s="2">
        <v>2015</v>
      </c>
      <c r="AJ3" s="2">
        <v>2016</v>
      </c>
      <c r="AK3" s="2">
        <v>2017</v>
      </c>
      <c r="AL3" s="2">
        <v>2018</v>
      </c>
      <c r="AM3" s="2">
        <v>2019</v>
      </c>
      <c r="AN3" s="2">
        <v>2020</v>
      </c>
    </row>
    <row r="4" spans="1:40" x14ac:dyDescent="0.2">
      <c r="A4" s="3" t="s">
        <v>1</v>
      </c>
      <c r="B4" s="4">
        <v>100</v>
      </c>
      <c r="C4" s="4">
        <f>+B15</f>
        <v>103</v>
      </c>
      <c r="D4" s="4">
        <f>+C4/100*109.34</f>
        <v>112.62020000000001</v>
      </c>
      <c r="E4" s="4">
        <f t="shared" ref="E4:L4" si="0">+D15</f>
        <v>112.62020000000001</v>
      </c>
      <c r="F4" s="4">
        <f t="shared" si="0"/>
        <v>117.05743588000003</v>
      </c>
      <c r="G4" s="4">
        <f t="shared" si="0"/>
        <v>119.76146264882802</v>
      </c>
      <c r="H4" s="4">
        <f t="shared" si="0"/>
        <v>122.28842951071827</v>
      </c>
      <c r="I4" s="4">
        <f t="shared" si="0"/>
        <v>125.94252224192626</v>
      </c>
      <c r="J4" s="4">
        <f t="shared" si="0"/>
        <v>129.03444686064068</v>
      </c>
      <c r="K4" s="4">
        <f t="shared" si="0"/>
        <v>132.12637147935513</v>
      </c>
      <c r="L4" s="4">
        <f t="shared" si="0"/>
        <v>135.49221968924826</v>
      </c>
      <c r="M4" s="4">
        <f>+L15</f>
        <v>139.55698627992572</v>
      </c>
      <c r="N4" s="4">
        <f>+M15</f>
        <v>143.10062009848713</v>
      </c>
      <c r="O4" s="4">
        <f>N15</f>
        <v>146.76366565006012</v>
      </c>
      <c r="P4" s="4">
        <f>O15</f>
        <v>150.30957159767686</v>
      </c>
      <c r="Q4" s="4">
        <f>P15</f>
        <v>153.76669174442341</v>
      </c>
      <c r="R4" s="4">
        <f>Q15</f>
        <v>157.30332565454515</v>
      </c>
      <c r="S4" s="36">
        <v>159.97748219067239</v>
      </c>
      <c r="T4" s="36">
        <f>R15</f>
        <v>159.97748219067239</v>
      </c>
      <c r="U4" s="36">
        <f>T15</f>
        <v>166.53655896048994</v>
      </c>
      <c r="V4" s="36">
        <f>T15</f>
        <v>166.53655896048994</v>
      </c>
      <c r="W4" s="36"/>
      <c r="X4" s="36"/>
      <c r="Y4" s="3" t="s">
        <v>1</v>
      </c>
      <c r="Z4" s="4"/>
      <c r="AA4" s="4"/>
      <c r="AB4" s="4"/>
      <c r="AC4" s="4"/>
      <c r="AD4" s="4"/>
      <c r="AE4" s="4"/>
      <c r="AF4" s="4"/>
      <c r="AG4" s="4"/>
      <c r="AH4" s="4"/>
      <c r="AI4" s="4"/>
      <c r="AJ4" s="4"/>
      <c r="AK4" s="4"/>
      <c r="AL4" s="4"/>
      <c r="AM4" s="4"/>
      <c r="AN4" s="4"/>
    </row>
    <row r="5" spans="1:40" x14ac:dyDescent="0.2">
      <c r="A5" s="3" t="s">
        <v>2</v>
      </c>
      <c r="B5" s="4">
        <v>100</v>
      </c>
      <c r="C5" s="4">
        <f t="shared" ref="C5:N6" si="1">+C4</f>
        <v>103</v>
      </c>
      <c r="D5" s="4">
        <f t="shared" si="1"/>
        <v>112.62020000000001</v>
      </c>
      <c r="E5" s="4">
        <f t="shared" si="1"/>
        <v>112.62020000000001</v>
      </c>
      <c r="F5" s="4">
        <f t="shared" si="1"/>
        <v>117.05743588000003</v>
      </c>
      <c r="G5" s="4">
        <f t="shared" si="1"/>
        <v>119.76146264882802</v>
      </c>
      <c r="H5" s="4">
        <f t="shared" si="1"/>
        <v>122.28842951071827</v>
      </c>
      <c r="I5" s="4">
        <f t="shared" si="1"/>
        <v>125.94252224192626</v>
      </c>
      <c r="J5" s="4">
        <f t="shared" si="1"/>
        <v>129.03444686064068</v>
      </c>
      <c r="K5" s="4">
        <f t="shared" si="1"/>
        <v>132.12637147935513</v>
      </c>
      <c r="L5" s="4">
        <f t="shared" si="1"/>
        <v>135.49221968924826</v>
      </c>
      <c r="M5" s="4">
        <f t="shared" si="1"/>
        <v>139.55698627992572</v>
      </c>
      <c r="N5" s="4">
        <f t="shared" si="1"/>
        <v>143.10062009848713</v>
      </c>
      <c r="O5" s="4">
        <f>O4</f>
        <v>146.76366565006012</v>
      </c>
      <c r="P5" s="4">
        <f>P4</f>
        <v>150.30957159767686</v>
      </c>
      <c r="Q5" s="4">
        <f>Q4</f>
        <v>153.76669174442341</v>
      </c>
      <c r="R5" s="4">
        <f>R4</f>
        <v>157.30332565454515</v>
      </c>
      <c r="S5" s="4">
        <v>159.97748219067239</v>
      </c>
      <c r="T5" s="4">
        <f t="shared" ref="T5:U6" si="2">T4</f>
        <v>159.97748219067239</v>
      </c>
      <c r="U5" s="4">
        <f t="shared" si="2"/>
        <v>166.53655896048994</v>
      </c>
      <c r="V5" s="36">
        <f>V4</f>
        <v>166.53655896048994</v>
      </c>
      <c r="W5" s="4"/>
      <c r="X5" s="4"/>
      <c r="Y5" s="3" t="s">
        <v>2</v>
      </c>
      <c r="Z5" s="4"/>
      <c r="AA5" s="4"/>
      <c r="AB5" s="4"/>
      <c r="AC5" s="4"/>
      <c r="AD5" s="4"/>
      <c r="AE5" s="4"/>
      <c r="AF5" s="4"/>
      <c r="AG5" s="4"/>
      <c r="AH5" s="4"/>
      <c r="AI5" s="4"/>
      <c r="AJ5" s="4"/>
      <c r="AK5" s="4"/>
      <c r="AL5" s="4"/>
      <c r="AM5" s="4"/>
      <c r="AN5" s="4"/>
    </row>
    <row r="6" spans="1:40" x14ac:dyDescent="0.2">
      <c r="A6" s="3" t="s">
        <v>3</v>
      </c>
      <c r="B6" s="4">
        <v>100</v>
      </c>
      <c r="C6" s="4">
        <f t="shared" si="1"/>
        <v>103</v>
      </c>
      <c r="D6" s="4">
        <f t="shared" si="1"/>
        <v>112.62020000000001</v>
      </c>
      <c r="E6" s="4">
        <f t="shared" si="1"/>
        <v>112.62020000000001</v>
      </c>
      <c r="F6" s="4">
        <f t="shared" si="1"/>
        <v>117.05743588000003</v>
      </c>
      <c r="G6" s="4">
        <f t="shared" si="1"/>
        <v>119.76146264882802</v>
      </c>
      <c r="H6" s="4">
        <f t="shared" si="1"/>
        <v>122.28842951071827</v>
      </c>
      <c r="I6" s="4">
        <f t="shared" si="1"/>
        <v>125.94252224192626</v>
      </c>
      <c r="J6" s="4">
        <f t="shared" si="1"/>
        <v>129.03444686064068</v>
      </c>
      <c r="K6" s="4">
        <f t="shared" si="1"/>
        <v>132.12637147935513</v>
      </c>
      <c r="L6" s="4">
        <f t="shared" si="1"/>
        <v>135.49221968924826</v>
      </c>
      <c r="M6" s="4">
        <f t="shared" si="1"/>
        <v>139.55698627992572</v>
      </c>
      <c r="N6" s="4">
        <f t="shared" si="1"/>
        <v>143.10062009848713</v>
      </c>
      <c r="O6" s="4">
        <f t="shared" ref="O6:P6" si="3">O5</f>
        <v>146.76366565006012</v>
      </c>
      <c r="P6" s="4">
        <f t="shared" si="3"/>
        <v>150.30957159767686</v>
      </c>
      <c r="Q6" s="4">
        <f t="shared" ref="Q6" si="4">Q5</f>
        <v>153.76669174442341</v>
      </c>
      <c r="R6" s="4">
        <f>R5</f>
        <v>157.30332565454515</v>
      </c>
      <c r="S6" s="4">
        <v>159.97748219067239</v>
      </c>
      <c r="T6" s="4">
        <f t="shared" si="2"/>
        <v>159.97748219067239</v>
      </c>
      <c r="U6" s="4">
        <f>U5</f>
        <v>166.53655896048994</v>
      </c>
      <c r="V6" s="36">
        <f>V5</f>
        <v>166.53655896048994</v>
      </c>
      <c r="W6" s="4"/>
      <c r="X6" s="4"/>
      <c r="Y6" s="3" t="s">
        <v>3</v>
      </c>
      <c r="Z6" s="4"/>
      <c r="AA6" s="4"/>
      <c r="AB6" s="4"/>
      <c r="AC6" s="4"/>
      <c r="AD6" s="4"/>
      <c r="AE6" s="4"/>
      <c r="AF6" s="4"/>
      <c r="AG6" s="4"/>
      <c r="AH6" s="4"/>
      <c r="AI6" s="4"/>
      <c r="AJ6" s="4"/>
      <c r="AK6" s="4"/>
      <c r="AL6" s="4"/>
      <c r="AM6" s="4"/>
      <c r="AN6" s="4"/>
    </row>
    <row r="7" spans="1:40" x14ac:dyDescent="0.2">
      <c r="A7" s="3" t="s">
        <v>4</v>
      </c>
      <c r="B7" s="4">
        <v>103</v>
      </c>
      <c r="C7" s="4">
        <f>+C6</f>
        <v>103</v>
      </c>
      <c r="D7" s="4">
        <f>+D6</f>
        <v>112.62020000000001</v>
      </c>
      <c r="E7" s="4">
        <f>109.34*1.0394*1.03</f>
        <v>117.05743588000003</v>
      </c>
      <c r="F7" s="4">
        <f>+F6*1.0231</f>
        <v>119.76146264882802</v>
      </c>
      <c r="G7" s="4">
        <f>+G6*1.0211</f>
        <v>122.28842951071827</v>
      </c>
      <c r="H7" s="4">
        <f>+(21273+480+650)/(21273+480)*H6</f>
        <v>125.94252224192626</v>
      </c>
      <c r="I7" s="4">
        <f>+I6*(1+(550/22403))</f>
        <v>129.03444686064068</v>
      </c>
      <c r="J7" s="4">
        <f>+J6*(1+(550/(22403+550)))</f>
        <v>132.12637147935513</v>
      </c>
      <c r="K7" s="4">
        <f>+K6*(1+(600/(22403+550+600)))</f>
        <v>135.49221968924826</v>
      </c>
      <c r="L7" s="4">
        <f>+L6</f>
        <v>135.49221968924826</v>
      </c>
      <c r="M7" s="4">
        <f>+M6</f>
        <v>139.55698627992572</v>
      </c>
      <c r="N7" s="4">
        <f>+N6</f>
        <v>143.10062009848713</v>
      </c>
      <c r="O7" s="36">
        <f>O6</f>
        <v>146.76366565006012</v>
      </c>
      <c r="P7" s="36">
        <f>P6</f>
        <v>150.30957159767686</v>
      </c>
      <c r="Q7" s="36">
        <f>Q6*1.023</f>
        <v>157.30332565454515</v>
      </c>
      <c r="R7" s="36">
        <f>R6*1.017</f>
        <v>159.97748219067239</v>
      </c>
      <c r="S7" s="4">
        <f>$S$6*(1.0245)</f>
        <v>163.89693050434386</v>
      </c>
      <c r="T7" s="4">
        <f>T6*1.041</f>
        <v>166.53655896048994</v>
      </c>
      <c r="U7" s="4">
        <f>U6*1.0285</f>
        <v>171.2828508908639</v>
      </c>
      <c r="V7" s="4">
        <f>V6*1.033</f>
        <v>172.0322654061861</v>
      </c>
      <c r="W7" s="36"/>
      <c r="X7" s="36"/>
      <c r="Y7" s="3" t="s">
        <v>4</v>
      </c>
      <c r="Z7" s="4"/>
      <c r="AA7" s="4"/>
      <c r="AB7" s="4"/>
      <c r="AC7" s="4"/>
      <c r="AD7" s="4"/>
      <c r="AE7" s="4"/>
      <c r="AF7" s="4"/>
      <c r="AG7" s="4"/>
      <c r="AH7" s="4"/>
      <c r="AI7" s="4"/>
      <c r="AJ7" s="4"/>
      <c r="AK7" s="4"/>
      <c r="AL7" s="4"/>
      <c r="AM7" s="4"/>
      <c r="AN7" s="4"/>
    </row>
    <row r="8" spans="1:40" x14ac:dyDescent="0.2">
      <c r="A8" s="3" t="s">
        <v>5</v>
      </c>
      <c r="B8" s="4">
        <f t="shared" ref="B8:B15" si="5">+B7</f>
        <v>103</v>
      </c>
      <c r="C8" s="4">
        <f>+C7</f>
        <v>103</v>
      </c>
      <c r="D8" s="4">
        <f>+D7</f>
        <v>112.62020000000001</v>
      </c>
      <c r="E8" s="4">
        <f t="shared" ref="E8:K15" si="6">+E7</f>
        <v>117.05743588000003</v>
      </c>
      <c r="F8" s="4">
        <f t="shared" si="6"/>
        <v>119.76146264882802</v>
      </c>
      <c r="G8" s="4">
        <f t="shared" si="6"/>
        <v>122.28842951071827</v>
      </c>
      <c r="H8" s="4">
        <f t="shared" si="6"/>
        <v>125.94252224192626</v>
      </c>
      <c r="I8" s="4">
        <f t="shared" si="6"/>
        <v>129.03444686064068</v>
      </c>
      <c r="J8" s="4">
        <f t="shared" si="6"/>
        <v>132.12637147935513</v>
      </c>
      <c r="K8" s="4">
        <f t="shared" si="6"/>
        <v>135.49221968924826</v>
      </c>
      <c r="L8" s="4">
        <f>+L7*1.03</f>
        <v>139.55698627992572</v>
      </c>
      <c r="M8" s="36">
        <f>M7*(1+(616/((22953+600)*1.03)))</f>
        <v>143.10062009848713</v>
      </c>
      <c r="N8" s="36">
        <f>N7*(1+621/24260)</f>
        <v>146.76366565006012</v>
      </c>
      <c r="O8" s="4">
        <f>+O7*(1+616/25496)</f>
        <v>150.30957159767686</v>
      </c>
      <c r="P8" s="4">
        <f>+P7*(1+5500/26000/6)</f>
        <v>155.60894751938986</v>
      </c>
      <c r="Q8" s="4">
        <f>+Q7</f>
        <v>157.30332565454515</v>
      </c>
      <c r="R8" s="4">
        <f>+R7</f>
        <v>159.97748219067239</v>
      </c>
      <c r="S8" s="4">
        <f t="shared" ref="S8:S14" si="7">$S$6*(1.0245)</f>
        <v>163.89693050434386</v>
      </c>
      <c r="T8" s="4">
        <f>+T7</f>
        <v>166.53655896048994</v>
      </c>
      <c r="U8" s="4">
        <f>+U7</f>
        <v>171.2828508908639</v>
      </c>
      <c r="V8" s="4">
        <f>+V7</f>
        <v>172.0322654061861</v>
      </c>
      <c r="W8" s="4"/>
      <c r="X8" s="4"/>
      <c r="Y8" s="3" t="s">
        <v>5</v>
      </c>
      <c r="Z8" s="4"/>
      <c r="AA8" s="4"/>
      <c r="AB8" s="4"/>
      <c r="AC8" s="4"/>
      <c r="AD8" s="4"/>
      <c r="AE8" s="4"/>
      <c r="AF8" s="4"/>
      <c r="AG8" s="4"/>
      <c r="AH8" s="4"/>
      <c r="AI8" s="4"/>
      <c r="AJ8" s="4"/>
      <c r="AK8" s="4"/>
      <c r="AL8" s="4"/>
      <c r="AM8" s="4"/>
      <c r="AN8">
        <f>5500/6</f>
        <v>916.66666666666663</v>
      </c>
    </row>
    <row r="9" spans="1:40" x14ac:dyDescent="0.2">
      <c r="A9" s="3" t="s">
        <v>6</v>
      </c>
      <c r="B9" s="4">
        <f t="shared" si="5"/>
        <v>103</v>
      </c>
      <c r="C9" s="4">
        <f>(100+AA9/18198*100)*1.03</f>
        <v>113.18793273986152</v>
      </c>
      <c r="D9" s="4">
        <f t="shared" ref="D9:D15" si="8">+D8</f>
        <v>112.62020000000001</v>
      </c>
      <c r="E9" s="4">
        <f t="shared" si="6"/>
        <v>117.05743588000003</v>
      </c>
      <c r="F9" s="4">
        <f t="shared" si="6"/>
        <v>119.76146264882802</v>
      </c>
      <c r="G9" s="4">
        <f t="shared" si="6"/>
        <v>122.28842951071827</v>
      </c>
      <c r="H9" s="4">
        <f t="shared" si="6"/>
        <v>125.94252224192626</v>
      </c>
      <c r="I9" s="4">
        <f t="shared" si="6"/>
        <v>129.03444686064068</v>
      </c>
      <c r="J9" s="4">
        <f t="shared" si="6"/>
        <v>132.12637147935513</v>
      </c>
      <c r="K9" s="4">
        <f t="shared" si="6"/>
        <v>135.49221968924826</v>
      </c>
      <c r="L9" s="4">
        <f t="shared" ref="L9:O15" si="9">+L8</f>
        <v>139.55698627992572</v>
      </c>
      <c r="M9" s="4">
        <f t="shared" si="9"/>
        <v>143.10062009848713</v>
      </c>
      <c r="N9" s="4">
        <f t="shared" si="9"/>
        <v>146.76366565006012</v>
      </c>
      <c r="O9" s="4">
        <f t="shared" si="9"/>
        <v>150.30957159767686</v>
      </c>
      <c r="P9" s="4">
        <f t="shared" ref="P9:Q9" si="10">+P8</f>
        <v>155.60894751938986</v>
      </c>
      <c r="Q9" s="4">
        <f t="shared" si="10"/>
        <v>157.30332565454515</v>
      </c>
      <c r="R9" s="4">
        <f>+R8</f>
        <v>159.97748219067239</v>
      </c>
      <c r="S9" s="4">
        <f t="shared" si="7"/>
        <v>163.89693050434386</v>
      </c>
      <c r="T9" s="4">
        <f t="shared" ref="T9:T14" si="11">+T8</f>
        <v>166.53655896048994</v>
      </c>
      <c r="U9" s="4">
        <f t="shared" ref="U9:V15" si="12">+U8</f>
        <v>171.2828508908639</v>
      </c>
      <c r="V9" s="4">
        <f>+V8</f>
        <v>172.0322654061861</v>
      </c>
      <c r="W9" s="4"/>
      <c r="X9" s="4"/>
      <c r="Y9" s="3" t="s">
        <v>6</v>
      </c>
      <c r="AA9">
        <v>1800</v>
      </c>
      <c r="AN9">
        <f t="shared" ref="AN9:AN13" si="13">5500/6</f>
        <v>916.66666666666663</v>
      </c>
    </row>
    <row r="10" spans="1:40" x14ac:dyDescent="0.2">
      <c r="A10" s="3" t="s">
        <v>7</v>
      </c>
      <c r="B10" s="4">
        <f t="shared" si="5"/>
        <v>103</v>
      </c>
      <c r="C10" s="4">
        <f>+C8</f>
        <v>103</v>
      </c>
      <c r="D10" s="4">
        <f t="shared" si="8"/>
        <v>112.62020000000001</v>
      </c>
      <c r="E10" s="4">
        <f t="shared" si="6"/>
        <v>117.05743588000003</v>
      </c>
      <c r="F10" s="4">
        <f t="shared" si="6"/>
        <v>119.76146264882802</v>
      </c>
      <c r="G10" s="4">
        <f t="shared" si="6"/>
        <v>122.28842951071827</v>
      </c>
      <c r="H10" s="4">
        <f t="shared" si="6"/>
        <v>125.94252224192626</v>
      </c>
      <c r="I10" s="4">
        <f t="shared" si="6"/>
        <v>129.03444686064068</v>
      </c>
      <c r="J10" s="4">
        <f t="shared" si="6"/>
        <v>132.12637147935513</v>
      </c>
      <c r="K10" s="4">
        <f t="shared" si="6"/>
        <v>135.49221968924826</v>
      </c>
      <c r="L10" s="4">
        <f t="shared" si="9"/>
        <v>139.55698627992572</v>
      </c>
      <c r="M10" s="4">
        <f t="shared" si="9"/>
        <v>143.10062009848713</v>
      </c>
      <c r="N10" s="4">
        <f t="shared" si="9"/>
        <v>146.76366565006012</v>
      </c>
      <c r="O10" s="4">
        <f t="shared" ref="O10:P10" si="14">+O9</f>
        <v>150.30957159767686</v>
      </c>
      <c r="P10" s="4">
        <f t="shared" si="14"/>
        <v>155.60894751938986</v>
      </c>
      <c r="Q10" s="4">
        <f t="shared" ref="Q10" si="15">+Q9</f>
        <v>157.30332565454515</v>
      </c>
      <c r="R10" s="4">
        <f>+R9</f>
        <v>159.97748219067239</v>
      </c>
      <c r="S10" s="4">
        <f t="shared" si="7"/>
        <v>163.89693050434386</v>
      </c>
      <c r="T10" s="4">
        <f t="shared" si="11"/>
        <v>166.53655896048994</v>
      </c>
      <c r="U10" s="4">
        <f t="shared" si="12"/>
        <v>171.2828508908639</v>
      </c>
      <c r="V10" s="4">
        <f t="shared" si="12"/>
        <v>172.0322654061861</v>
      </c>
      <c r="W10" s="4"/>
      <c r="X10" s="36"/>
      <c r="Y10" s="3" t="s">
        <v>7</v>
      </c>
      <c r="Z10" s="4"/>
      <c r="AA10" s="4"/>
      <c r="AB10" s="4"/>
      <c r="AC10" s="4"/>
      <c r="AD10" s="4"/>
      <c r="AE10" s="4"/>
      <c r="AF10" s="4"/>
      <c r="AG10" s="4"/>
      <c r="AH10" s="4"/>
      <c r="AI10" s="4"/>
      <c r="AJ10" s="4"/>
      <c r="AK10" s="4"/>
      <c r="AL10" s="4"/>
      <c r="AM10" s="4"/>
      <c r="AN10">
        <f t="shared" si="13"/>
        <v>916.66666666666663</v>
      </c>
    </row>
    <row r="11" spans="1:40" x14ac:dyDescent="0.2">
      <c r="A11" s="3" t="s">
        <v>8</v>
      </c>
      <c r="B11" s="4">
        <f t="shared" si="5"/>
        <v>103</v>
      </c>
      <c r="C11" s="4">
        <f>+C10</f>
        <v>103</v>
      </c>
      <c r="D11" s="4">
        <f t="shared" si="8"/>
        <v>112.62020000000001</v>
      </c>
      <c r="E11" s="4">
        <f t="shared" si="6"/>
        <v>117.05743588000003</v>
      </c>
      <c r="F11" s="4">
        <f t="shared" si="6"/>
        <v>119.76146264882802</v>
      </c>
      <c r="G11" s="4">
        <f t="shared" si="6"/>
        <v>122.28842951071827</v>
      </c>
      <c r="H11" s="4">
        <f t="shared" si="6"/>
        <v>125.94252224192626</v>
      </c>
      <c r="I11" s="4">
        <f t="shared" si="6"/>
        <v>129.03444686064068</v>
      </c>
      <c r="J11" s="4">
        <f t="shared" si="6"/>
        <v>132.12637147935513</v>
      </c>
      <c r="K11" s="4">
        <f t="shared" si="6"/>
        <v>135.49221968924826</v>
      </c>
      <c r="L11" s="4">
        <f t="shared" si="9"/>
        <v>139.55698627992572</v>
      </c>
      <c r="M11" s="4">
        <f t="shared" si="9"/>
        <v>143.10062009848713</v>
      </c>
      <c r="N11" s="4">
        <f t="shared" si="9"/>
        <v>146.76366565006012</v>
      </c>
      <c r="O11" s="4">
        <f t="shared" ref="O11:P11" si="16">+O10</f>
        <v>150.30957159767686</v>
      </c>
      <c r="P11" s="4">
        <f t="shared" si="16"/>
        <v>155.60894751938986</v>
      </c>
      <c r="Q11" s="4">
        <f t="shared" ref="Q11" si="17">+Q10</f>
        <v>157.30332565454515</v>
      </c>
      <c r="R11" s="4">
        <f>+R10</f>
        <v>159.97748219067239</v>
      </c>
      <c r="S11" s="4">
        <f t="shared" si="7"/>
        <v>163.89693050434386</v>
      </c>
      <c r="T11" s="4">
        <f t="shared" si="11"/>
        <v>166.53655896048994</v>
      </c>
      <c r="U11" s="4">
        <f t="shared" si="12"/>
        <v>171.2828508908639</v>
      </c>
      <c r="V11" s="4">
        <f t="shared" si="12"/>
        <v>172.0322654061861</v>
      </c>
      <c r="W11" s="4"/>
      <c r="X11" s="4"/>
      <c r="Y11" s="3" t="s">
        <v>8</v>
      </c>
      <c r="Z11" s="4"/>
      <c r="AA11" s="4"/>
      <c r="AB11" s="4"/>
      <c r="AC11" s="4"/>
      <c r="AD11" s="4"/>
      <c r="AE11" s="4"/>
      <c r="AF11" s="4"/>
      <c r="AG11" s="4"/>
      <c r="AH11" s="4"/>
      <c r="AI11" s="4"/>
      <c r="AJ11" s="4"/>
      <c r="AK11" s="4"/>
      <c r="AL11" s="4"/>
      <c r="AM11" s="4"/>
      <c r="AN11">
        <f t="shared" si="13"/>
        <v>916.66666666666663</v>
      </c>
    </row>
    <row r="12" spans="1:40" x14ac:dyDescent="0.2">
      <c r="A12" s="3" t="s">
        <v>9</v>
      </c>
      <c r="B12" s="4">
        <f t="shared" si="5"/>
        <v>103</v>
      </c>
      <c r="C12" s="4">
        <f>+C10</f>
        <v>103</v>
      </c>
      <c r="D12" s="4">
        <f t="shared" si="8"/>
        <v>112.62020000000001</v>
      </c>
      <c r="E12" s="4">
        <f t="shared" si="6"/>
        <v>117.05743588000003</v>
      </c>
      <c r="F12" s="4">
        <f t="shared" si="6"/>
        <v>119.76146264882802</v>
      </c>
      <c r="G12" s="4">
        <f t="shared" si="6"/>
        <v>122.28842951071827</v>
      </c>
      <c r="H12" s="4">
        <f t="shared" si="6"/>
        <v>125.94252224192626</v>
      </c>
      <c r="I12" s="4">
        <f t="shared" si="6"/>
        <v>129.03444686064068</v>
      </c>
      <c r="J12" s="4">
        <f t="shared" si="6"/>
        <v>132.12637147935513</v>
      </c>
      <c r="K12" s="4">
        <f t="shared" si="6"/>
        <v>135.49221968924826</v>
      </c>
      <c r="L12" s="4">
        <f t="shared" si="9"/>
        <v>139.55698627992572</v>
      </c>
      <c r="M12" s="4">
        <f t="shared" si="9"/>
        <v>143.10062009848713</v>
      </c>
      <c r="N12" s="4">
        <f t="shared" si="9"/>
        <v>146.76366565006012</v>
      </c>
      <c r="O12" s="4">
        <f t="shared" ref="O12:P12" si="18">+O11</f>
        <v>150.30957159767686</v>
      </c>
      <c r="P12" s="4">
        <f t="shared" si="18"/>
        <v>155.60894751938986</v>
      </c>
      <c r="Q12" s="4">
        <f t="shared" ref="Q12:R12" si="19">+Q11</f>
        <v>157.30332565454515</v>
      </c>
      <c r="R12" s="4">
        <f t="shared" si="19"/>
        <v>159.97748219067239</v>
      </c>
      <c r="S12" s="4">
        <f t="shared" si="7"/>
        <v>163.89693050434386</v>
      </c>
      <c r="T12" s="4">
        <f t="shared" si="11"/>
        <v>166.53655896048994</v>
      </c>
      <c r="U12" s="4">
        <f t="shared" si="12"/>
        <v>171.2828508908639</v>
      </c>
      <c r="V12" s="4">
        <f t="shared" si="12"/>
        <v>172.0322654061861</v>
      </c>
      <c r="W12" s="4"/>
      <c r="X12" s="4"/>
      <c r="Y12" s="3" t="s">
        <v>9</v>
      </c>
      <c r="Z12" s="4"/>
      <c r="AA12" s="4"/>
      <c r="AB12" s="4"/>
      <c r="AC12" s="4"/>
      <c r="AD12" s="4"/>
      <c r="AE12" s="4"/>
      <c r="AF12" s="4"/>
      <c r="AG12" s="4"/>
      <c r="AH12" s="4"/>
      <c r="AI12" s="4"/>
      <c r="AJ12" s="4"/>
      <c r="AK12" s="4"/>
      <c r="AL12" s="4"/>
      <c r="AM12" s="4"/>
      <c r="AN12">
        <f t="shared" si="13"/>
        <v>916.66666666666663</v>
      </c>
    </row>
    <row r="13" spans="1:40" x14ac:dyDescent="0.2">
      <c r="A13" s="3" t="s">
        <v>10</v>
      </c>
      <c r="B13" s="4">
        <f t="shared" si="5"/>
        <v>103</v>
      </c>
      <c r="C13" s="4">
        <f>+C11</f>
        <v>103</v>
      </c>
      <c r="D13" s="4">
        <f t="shared" si="8"/>
        <v>112.62020000000001</v>
      </c>
      <c r="E13" s="4">
        <f t="shared" si="6"/>
        <v>117.05743588000003</v>
      </c>
      <c r="F13" s="4">
        <f t="shared" si="6"/>
        <v>119.76146264882802</v>
      </c>
      <c r="G13" s="4">
        <f t="shared" si="6"/>
        <v>122.28842951071827</v>
      </c>
      <c r="H13" s="4">
        <f t="shared" si="6"/>
        <v>125.94252224192626</v>
      </c>
      <c r="I13" s="4">
        <f t="shared" si="6"/>
        <v>129.03444686064068</v>
      </c>
      <c r="J13" s="4">
        <f t="shared" si="6"/>
        <v>132.12637147935513</v>
      </c>
      <c r="K13" s="4">
        <f t="shared" si="6"/>
        <v>135.49221968924826</v>
      </c>
      <c r="L13" s="4">
        <f t="shared" si="9"/>
        <v>139.55698627992572</v>
      </c>
      <c r="M13" s="4">
        <f t="shared" si="9"/>
        <v>143.10062009848713</v>
      </c>
      <c r="N13" s="4">
        <f t="shared" si="9"/>
        <v>146.76366565006012</v>
      </c>
      <c r="O13" s="4">
        <f t="shared" ref="O13:P13" si="20">+O12</f>
        <v>150.30957159767686</v>
      </c>
      <c r="P13" s="4">
        <f t="shared" si="20"/>
        <v>155.60894751938986</v>
      </c>
      <c r="Q13" s="4">
        <f t="shared" ref="Q13:Q15" si="21">+Q12</f>
        <v>157.30332565454515</v>
      </c>
      <c r="R13" s="4">
        <f>+R12</f>
        <v>159.97748219067239</v>
      </c>
      <c r="S13" s="4">
        <f t="shared" si="7"/>
        <v>163.89693050434386</v>
      </c>
      <c r="T13" s="4">
        <f t="shared" si="11"/>
        <v>166.53655896048994</v>
      </c>
      <c r="U13" s="4">
        <f t="shared" si="12"/>
        <v>171.2828508908639</v>
      </c>
      <c r="V13" s="4">
        <f t="shared" si="12"/>
        <v>172.0322654061861</v>
      </c>
      <c r="W13" s="4"/>
      <c r="X13" s="36"/>
      <c r="Y13" s="3" t="s">
        <v>10</v>
      </c>
      <c r="Z13" s="4"/>
      <c r="AA13" s="4"/>
      <c r="AB13" s="4"/>
      <c r="AC13" s="4"/>
      <c r="AD13" s="4"/>
      <c r="AE13" s="4"/>
      <c r="AF13" s="4"/>
      <c r="AG13" s="4"/>
      <c r="AH13" s="4"/>
      <c r="AI13" s="4"/>
      <c r="AJ13" s="4"/>
      <c r="AK13" s="4"/>
      <c r="AL13" s="4"/>
      <c r="AM13" s="4"/>
      <c r="AN13">
        <f t="shared" si="13"/>
        <v>916.66666666666663</v>
      </c>
    </row>
    <row r="14" spans="1:40" x14ac:dyDescent="0.2">
      <c r="A14" s="3" t="s">
        <v>11</v>
      </c>
      <c r="B14" s="4">
        <f t="shared" si="5"/>
        <v>103</v>
      </c>
      <c r="C14" s="4">
        <f>+C12</f>
        <v>103</v>
      </c>
      <c r="D14" s="4">
        <f t="shared" si="8"/>
        <v>112.62020000000001</v>
      </c>
      <c r="E14" s="4">
        <f t="shared" si="6"/>
        <v>117.05743588000003</v>
      </c>
      <c r="F14" s="4">
        <f t="shared" si="6"/>
        <v>119.76146264882802</v>
      </c>
      <c r="G14" s="4">
        <f t="shared" si="6"/>
        <v>122.28842951071827</v>
      </c>
      <c r="H14" s="4">
        <f t="shared" si="6"/>
        <v>125.94252224192626</v>
      </c>
      <c r="I14" s="4">
        <f t="shared" si="6"/>
        <v>129.03444686064068</v>
      </c>
      <c r="J14" s="4">
        <f t="shared" si="6"/>
        <v>132.12637147935513</v>
      </c>
      <c r="K14" s="4">
        <f t="shared" si="6"/>
        <v>135.49221968924826</v>
      </c>
      <c r="L14" s="4">
        <f t="shared" si="9"/>
        <v>139.55698627992572</v>
      </c>
      <c r="M14" s="4">
        <f t="shared" si="9"/>
        <v>143.10062009848713</v>
      </c>
      <c r="N14" s="4">
        <f t="shared" si="9"/>
        <v>146.76366565006012</v>
      </c>
      <c r="O14" s="4">
        <f t="shared" ref="O14" si="22">+O13</f>
        <v>150.30957159767686</v>
      </c>
      <c r="P14" s="4">
        <f>+O8*(1+598/26000)</f>
        <v>153.76669174442341</v>
      </c>
      <c r="Q14" s="4">
        <f t="shared" si="21"/>
        <v>157.30332565454515</v>
      </c>
      <c r="R14" s="4">
        <f>+R13</f>
        <v>159.97748219067239</v>
      </c>
      <c r="S14" s="4">
        <f t="shared" si="7"/>
        <v>163.89693050434386</v>
      </c>
      <c r="T14" s="4">
        <f t="shared" si="11"/>
        <v>166.53655896048994</v>
      </c>
      <c r="U14" s="4">
        <f t="shared" si="12"/>
        <v>171.2828508908639</v>
      </c>
      <c r="V14" s="4">
        <f t="shared" si="12"/>
        <v>172.0322654061861</v>
      </c>
      <c r="W14" s="4"/>
      <c r="X14" s="4"/>
      <c r="Y14" s="3" t="s">
        <v>11</v>
      </c>
      <c r="Z14" s="4"/>
      <c r="AA14" s="4"/>
      <c r="AB14" s="4"/>
      <c r="AC14" s="4"/>
      <c r="AD14" s="4"/>
      <c r="AE14" s="4"/>
      <c r="AF14" s="4"/>
      <c r="AG14" s="4"/>
      <c r="AH14" s="4"/>
      <c r="AI14" s="4"/>
      <c r="AJ14" s="4"/>
      <c r="AK14" s="4"/>
      <c r="AL14" s="4"/>
      <c r="AM14" s="4"/>
      <c r="AN14" s="4"/>
    </row>
    <row r="15" spans="1:40" x14ac:dyDescent="0.2">
      <c r="A15" s="3" t="s">
        <v>12</v>
      </c>
      <c r="B15" s="4">
        <f t="shared" si="5"/>
        <v>103</v>
      </c>
      <c r="C15" s="4">
        <f>(100+ AA15/18198*100)*1.03</f>
        <v>123.37586547972305</v>
      </c>
      <c r="D15" s="4">
        <f t="shared" si="8"/>
        <v>112.62020000000001</v>
      </c>
      <c r="E15" s="4">
        <f t="shared" si="6"/>
        <v>117.05743588000003</v>
      </c>
      <c r="F15" s="4">
        <f t="shared" si="6"/>
        <v>119.76146264882802</v>
      </c>
      <c r="G15" s="4">
        <f t="shared" si="6"/>
        <v>122.28842951071827</v>
      </c>
      <c r="H15" s="4">
        <f t="shared" si="6"/>
        <v>125.94252224192626</v>
      </c>
      <c r="I15" s="4">
        <f t="shared" si="6"/>
        <v>129.03444686064068</v>
      </c>
      <c r="J15" s="4">
        <f t="shared" si="6"/>
        <v>132.12637147935513</v>
      </c>
      <c r="K15" s="4">
        <f t="shared" si="6"/>
        <v>135.49221968924826</v>
      </c>
      <c r="L15" s="4">
        <f t="shared" si="9"/>
        <v>139.55698627992572</v>
      </c>
      <c r="M15" s="4">
        <f t="shared" si="9"/>
        <v>143.10062009848713</v>
      </c>
      <c r="N15" s="4">
        <f>+N14</f>
        <v>146.76366565006012</v>
      </c>
      <c r="O15" s="4">
        <f t="shared" ref="O15" si="23">+O14</f>
        <v>150.30957159767686</v>
      </c>
      <c r="P15" s="4">
        <f>+P14</f>
        <v>153.76669174442341</v>
      </c>
      <c r="Q15" s="4">
        <f t="shared" si="21"/>
        <v>157.30332565454515</v>
      </c>
      <c r="R15" s="4">
        <f>+R14</f>
        <v>159.97748219067239</v>
      </c>
      <c r="S15" s="4">
        <f>$S$6*(1.0245)</f>
        <v>163.89693050434386</v>
      </c>
      <c r="T15" s="4">
        <f>+T14</f>
        <v>166.53655896048994</v>
      </c>
      <c r="U15" s="4">
        <f t="shared" si="12"/>
        <v>171.2828508908639</v>
      </c>
      <c r="V15" s="4">
        <f t="shared" si="12"/>
        <v>172.0322654061861</v>
      </c>
      <c r="W15" s="4"/>
      <c r="X15" s="4"/>
      <c r="Y15" s="5" t="s">
        <v>12</v>
      </c>
      <c r="Z15" s="7"/>
      <c r="AA15" s="7">
        <v>3600</v>
      </c>
      <c r="AB15" s="7"/>
      <c r="AC15" s="7"/>
      <c r="AD15" s="7"/>
      <c r="AE15" s="7"/>
      <c r="AF15" s="7"/>
      <c r="AG15" s="7"/>
      <c r="AH15" s="7"/>
      <c r="AI15" s="7"/>
      <c r="AJ15" s="7"/>
      <c r="AK15" s="7"/>
      <c r="AL15" s="7"/>
      <c r="AM15" s="7"/>
      <c r="AN15" s="7"/>
    </row>
    <row r="16" spans="1:40" x14ac:dyDescent="0.2">
      <c r="A16" s="3" t="s">
        <v>103</v>
      </c>
      <c r="B16" s="41">
        <f t="shared" ref="B16:M16" si="24">SUM(B4:B15)/12</f>
        <v>102.25</v>
      </c>
      <c r="C16" s="41">
        <f>SUM(C4:C15)/12</f>
        <v>105.54698318496537</v>
      </c>
      <c r="D16" s="41">
        <f>SUM(D4:D15)/12</f>
        <v>112.62020000000005</v>
      </c>
      <c r="E16" s="41">
        <f t="shared" si="24"/>
        <v>115.94812691000003</v>
      </c>
      <c r="F16" s="41">
        <f t="shared" si="24"/>
        <v>119.085455956621</v>
      </c>
      <c r="G16" s="41">
        <f t="shared" si="24"/>
        <v>121.65668779524572</v>
      </c>
      <c r="H16" s="41">
        <f t="shared" si="24"/>
        <v>125.02899905912426</v>
      </c>
      <c r="I16" s="41">
        <f t="shared" si="24"/>
        <v>128.26146570596205</v>
      </c>
      <c r="J16" s="41">
        <f t="shared" si="24"/>
        <v>131.35339032467652</v>
      </c>
      <c r="K16" s="41">
        <f t="shared" si="24"/>
        <v>134.65075763677498</v>
      </c>
      <c r="L16" s="41">
        <f t="shared" si="24"/>
        <v>138.20206408303321</v>
      </c>
      <c r="M16" s="41">
        <f t="shared" si="24"/>
        <v>141.9194088256333</v>
      </c>
      <c r="N16" s="41">
        <f t="shared" ref="N16:R16" si="25">SUM(N4:N15)/12</f>
        <v>145.54265046620247</v>
      </c>
      <c r="O16" s="41">
        <f t="shared" si="25"/>
        <v>149.12760294847132</v>
      </c>
      <c r="P16" s="41">
        <f t="shared" si="25"/>
        <v>153.53544624965778</v>
      </c>
      <c r="Q16" s="41">
        <f t="shared" si="25"/>
        <v>156.41916717701474</v>
      </c>
      <c r="R16" s="41">
        <f t="shared" si="25"/>
        <v>159.30894305664057</v>
      </c>
      <c r="S16" s="41">
        <f>SUM(S4:S15)/12</f>
        <v>162.91706842592595</v>
      </c>
      <c r="T16" s="41">
        <f>SUM(T4:T15)/12</f>
        <v>164.89678976803552</v>
      </c>
      <c r="U16" s="41">
        <f>SUM(U4:U15)/12</f>
        <v>170.09627790827042</v>
      </c>
      <c r="V16" s="41">
        <f>SUM(V4:V15)/12</f>
        <v>170.65833879476205</v>
      </c>
      <c r="W16" s="41"/>
      <c r="X16" s="41"/>
    </row>
    <row r="17" spans="1:24" x14ac:dyDescent="0.2">
      <c r="A17" s="5" t="s">
        <v>13</v>
      </c>
      <c r="B17" s="6"/>
      <c r="C17" s="43">
        <f>+(C16/B16-1)*100</f>
        <v>3.2244334327289792</v>
      </c>
      <c r="D17" s="43">
        <f>D16/C16*100-100</f>
        <v>6.7014864864865444</v>
      </c>
      <c r="E17" s="43">
        <f t="shared" ref="E17:M17" si="26">E16/D16*100-100</f>
        <v>2.9549999999999699</v>
      </c>
      <c r="F17" s="43">
        <f t="shared" si="26"/>
        <v>2.7058039920353281</v>
      </c>
      <c r="G17" s="43">
        <f t="shared" si="26"/>
        <v>2.1591485021994004</v>
      </c>
      <c r="H17" s="43">
        <f t="shared" si="26"/>
        <v>2.7719900360548451</v>
      </c>
      <c r="I17" s="43">
        <f t="shared" si="26"/>
        <v>2.5853735302713261</v>
      </c>
      <c r="J17" s="43">
        <f t="shared" si="26"/>
        <v>2.4106418881900709</v>
      </c>
      <c r="K17" s="43">
        <f t="shared" si="26"/>
        <v>2.5103024017485183</v>
      </c>
      <c r="L17" s="43">
        <f t="shared" si="26"/>
        <v>2.6374203224596897</v>
      </c>
      <c r="M17" s="43">
        <f t="shared" si="26"/>
        <v>2.6897895970400754</v>
      </c>
      <c r="N17" s="43">
        <f t="shared" ref="N17:Q17" si="27">N16/M16*100-100</f>
        <v>2.5530275742768822</v>
      </c>
      <c r="O17" s="43">
        <f t="shared" si="27"/>
        <v>2.4631628397487049</v>
      </c>
      <c r="P17" s="43">
        <f t="shared" si="27"/>
        <v>2.9557528009817986</v>
      </c>
      <c r="Q17" s="43">
        <f t="shared" si="27"/>
        <v>1.8782118382408441</v>
      </c>
      <c r="R17" s="43">
        <f>R16/Q16*100-100</f>
        <v>1.8474563774882853</v>
      </c>
      <c r="S17" s="43">
        <f>S16/R16*100-100</f>
        <v>2.2648605282646059</v>
      </c>
      <c r="T17" s="43">
        <f>T16/R16*100-100</f>
        <v>3.5075536904467697</v>
      </c>
      <c r="U17" s="43">
        <f>U16/T16*100-100</f>
        <v>3.1531772980839605</v>
      </c>
      <c r="V17" s="43">
        <f>V16/T16*100-100</f>
        <v>3.4940334707737009</v>
      </c>
      <c r="W17" s="41"/>
      <c r="X17" s="46"/>
    </row>
    <row r="18" spans="1:24" x14ac:dyDescent="0.2">
      <c r="W18" s="41"/>
    </row>
    <row r="19" spans="1:24" x14ac:dyDescent="0.2">
      <c r="O19">
        <v>149.41999999999999</v>
      </c>
    </row>
    <row r="20" spans="1:24" x14ac:dyDescent="0.2">
      <c r="O20" s="43">
        <v>2.6661907228845934</v>
      </c>
    </row>
    <row r="29" spans="1:24" x14ac:dyDescent="0.2">
      <c r="M29" s="24"/>
    </row>
    <row r="31" spans="1:24" x14ac:dyDescent="0.2">
      <c r="I31" s="11"/>
      <c r="J31" s="11"/>
      <c r="K31" s="29"/>
      <c r="L31" s="30"/>
      <c r="M31" s="30"/>
      <c r="N31" s="30"/>
      <c r="O31" s="30"/>
      <c r="P31" s="30"/>
      <c r="Q31" s="30"/>
      <c r="R31" s="30"/>
    </row>
    <row r="32" spans="1:24" x14ac:dyDescent="0.2">
      <c r="K32" s="29"/>
    </row>
    <row r="34" spans="8:8" x14ac:dyDescent="0.2">
      <c r="H34" s="23"/>
    </row>
    <row r="35" spans="8:8" x14ac:dyDescent="0.2">
      <c r="H35" s="26"/>
    </row>
    <row r="36" spans="8:8" x14ac:dyDescent="0.2">
      <c r="H36" s="26"/>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3"/>
  <sheetViews>
    <sheetView showWhiteSpace="0" view="pageLayout" topLeftCell="G1" zoomScaleNormal="100" workbookViewId="0">
      <selection activeCell="V18" sqref="V18"/>
    </sheetView>
  </sheetViews>
  <sheetFormatPr defaultRowHeight="12.75" x14ac:dyDescent="0.2"/>
  <cols>
    <col min="1" max="1" width="24.85546875" customWidth="1"/>
    <col min="2" max="2" width="7" bestFit="1" customWidth="1"/>
    <col min="3" max="15" width="8.7109375" customWidth="1"/>
  </cols>
  <sheetData>
    <row r="1" spans="1:21" ht="15.75" x14ac:dyDescent="0.25">
      <c r="A1" s="8" t="s">
        <v>191</v>
      </c>
    </row>
    <row r="3" spans="1:21" x14ac:dyDescent="0.2">
      <c r="C3" s="3">
        <v>2006</v>
      </c>
      <c r="D3" s="3">
        <v>2007</v>
      </c>
      <c r="E3" s="3">
        <v>2008</v>
      </c>
      <c r="F3" s="3">
        <v>2009</v>
      </c>
      <c r="G3" s="3">
        <v>2010</v>
      </c>
      <c r="H3" s="3">
        <v>2011</v>
      </c>
      <c r="I3" s="3">
        <v>2012</v>
      </c>
      <c r="J3" s="3">
        <v>2013</v>
      </c>
      <c r="K3" s="3">
        <v>2014</v>
      </c>
      <c r="L3" s="3">
        <v>2015</v>
      </c>
      <c r="M3" s="34">
        <v>2016</v>
      </c>
      <c r="N3" s="34">
        <v>2017</v>
      </c>
      <c r="O3" s="34">
        <v>2018</v>
      </c>
      <c r="P3" s="34">
        <v>2019</v>
      </c>
      <c r="Q3" s="34">
        <v>2020</v>
      </c>
      <c r="R3" s="34">
        <v>2021</v>
      </c>
      <c r="S3" s="34">
        <v>2022</v>
      </c>
      <c r="T3" s="34">
        <v>2023</v>
      </c>
      <c r="U3" s="34">
        <v>2024</v>
      </c>
    </row>
    <row r="4" spans="1:21" x14ac:dyDescent="0.2">
      <c r="A4" t="s">
        <v>87</v>
      </c>
      <c r="C4" s="24"/>
      <c r="D4" s="24">
        <v>0.2271</v>
      </c>
      <c r="E4" s="24">
        <v>0.21310000000000001</v>
      </c>
      <c r="F4" s="24">
        <v>0.15490000000000001</v>
      </c>
      <c r="G4" s="24">
        <f t="shared" ref="G4:J5" si="0">+F4</f>
        <v>0.15490000000000001</v>
      </c>
      <c r="H4" s="24">
        <f t="shared" si="0"/>
        <v>0.15490000000000001</v>
      </c>
      <c r="I4" s="24">
        <f t="shared" si="0"/>
        <v>0.15490000000000001</v>
      </c>
      <c r="J4" s="24">
        <f t="shared" si="0"/>
        <v>0.15490000000000001</v>
      </c>
      <c r="K4" s="24">
        <v>0.15490000000000001</v>
      </c>
      <c r="L4" s="24">
        <v>0.15490000000000001</v>
      </c>
      <c r="M4" s="24">
        <f>0.5*25.46/100+0.5*31.42/100</f>
        <v>0.28439999999999999</v>
      </c>
      <c r="N4" s="24">
        <v>0.31419999999999998</v>
      </c>
      <c r="O4" s="24">
        <v>0.31419999999999998</v>
      </c>
      <c r="P4" s="24">
        <v>0.31419999999999998</v>
      </c>
      <c r="Q4" s="24">
        <v>0.31419999999999998</v>
      </c>
      <c r="R4" s="24">
        <f>19.73/400*3+31.42/400</f>
        <v>0.226525</v>
      </c>
      <c r="S4" s="24">
        <f>19.73/100</f>
        <v>0.1973</v>
      </c>
      <c r="T4" s="24">
        <f>19.73/400*1+31.42*3/400</f>
        <v>0.28497500000000003</v>
      </c>
      <c r="U4" s="24">
        <v>0.31420000000000003</v>
      </c>
    </row>
    <row r="5" spans="1:21" x14ac:dyDescent="0.2">
      <c r="A5" t="s">
        <v>88</v>
      </c>
      <c r="C5" s="24">
        <v>0.32279999999999998</v>
      </c>
      <c r="D5" s="24">
        <v>0.32419999999999999</v>
      </c>
      <c r="E5" s="24">
        <v>0.32419999999999999</v>
      </c>
      <c r="F5" s="24">
        <v>0.31419999999999998</v>
      </c>
      <c r="G5" s="24">
        <f t="shared" si="0"/>
        <v>0.31419999999999998</v>
      </c>
      <c r="H5" s="24">
        <f t="shared" si="0"/>
        <v>0.31419999999999998</v>
      </c>
      <c r="I5" s="24">
        <f t="shared" si="0"/>
        <v>0.31419999999999998</v>
      </c>
      <c r="J5" s="24">
        <f t="shared" si="0"/>
        <v>0.31419999999999998</v>
      </c>
      <c r="K5" s="24">
        <v>0.31419999999999998</v>
      </c>
      <c r="L5" s="24">
        <v>0.31419999999999998</v>
      </c>
      <c r="M5" s="24">
        <v>0.31419999999999998</v>
      </c>
      <c r="N5" s="24">
        <v>0.31419999999999998</v>
      </c>
      <c r="O5" s="24">
        <v>0.31419999999999998</v>
      </c>
      <c r="P5" s="24">
        <v>0.31419999999999998</v>
      </c>
      <c r="Q5" s="24">
        <v>0.31419999999999998</v>
      </c>
      <c r="R5" s="24">
        <v>0.31419999999999998</v>
      </c>
      <c r="S5" s="24">
        <v>0.31419999999999998</v>
      </c>
      <c r="T5" s="24">
        <v>0.31420000000000003</v>
      </c>
      <c r="U5" s="24">
        <v>0.31420000000000003</v>
      </c>
    </row>
    <row r="6" spans="1:21" x14ac:dyDescent="0.2">
      <c r="C6" s="24"/>
      <c r="D6" s="24"/>
      <c r="E6" s="24"/>
      <c r="F6" s="24"/>
      <c r="G6" s="24"/>
      <c r="H6" s="24"/>
      <c r="I6" s="24"/>
      <c r="J6" s="28"/>
    </row>
    <row r="7" spans="1:21" x14ac:dyDescent="0.2">
      <c r="C7" t="s">
        <v>89</v>
      </c>
    </row>
    <row r="8" spans="1:21" x14ac:dyDescent="0.2">
      <c r="A8" s="44" t="s">
        <v>199</v>
      </c>
      <c r="B8">
        <v>2.7E-2</v>
      </c>
      <c r="R8" s="24">
        <f>R4*B8</f>
        <v>6.1161749999999997E-3</v>
      </c>
      <c r="S8" s="24">
        <f>S4*B8</f>
        <v>5.3271000000000004E-3</v>
      </c>
      <c r="T8" s="24">
        <f>T4*B8</f>
        <v>7.694325000000001E-3</v>
      </c>
    </row>
    <row r="9" spans="1:21" x14ac:dyDescent="0.2">
      <c r="A9" t="s">
        <v>90</v>
      </c>
      <c r="B9">
        <v>3.5000000000000003E-2</v>
      </c>
      <c r="D9" s="24">
        <f>+B9*0.5*D4</f>
        <v>3.9742500000000004E-3</v>
      </c>
      <c r="E9" s="24">
        <f>+B9*E4</f>
        <v>7.4585000000000007E-3</v>
      </c>
      <c r="F9" s="24"/>
      <c r="G9" s="24"/>
      <c r="H9" s="24"/>
      <c r="I9" s="24"/>
    </row>
    <row r="10" spans="1:21" x14ac:dyDescent="0.2">
      <c r="A10" t="s">
        <v>91</v>
      </c>
      <c r="B10">
        <v>4.4499999999999998E-2</v>
      </c>
      <c r="D10" s="24"/>
      <c r="E10" s="24"/>
      <c r="F10" s="24">
        <f>+B10*F4</f>
        <v>6.8930500000000004E-3</v>
      </c>
      <c r="G10" s="24">
        <f>+B10*G4</f>
        <v>6.8930500000000004E-3</v>
      </c>
      <c r="H10" s="24">
        <f t="shared" ref="H10:M10" si="1">+$B10*H4</f>
        <v>6.8930500000000004E-3</v>
      </c>
      <c r="I10" s="24">
        <f t="shared" si="1"/>
        <v>6.8930500000000004E-3</v>
      </c>
      <c r="J10" s="24">
        <f t="shared" si="1"/>
        <v>6.8930500000000004E-3</v>
      </c>
      <c r="K10" s="24">
        <f t="shared" si="1"/>
        <v>6.8930500000000004E-3</v>
      </c>
      <c r="L10" s="24">
        <f t="shared" si="1"/>
        <v>6.8930500000000004E-3</v>
      </c>
      <c r="M10" s="24">
        <f t="shared" si="1"/>
        <v>1.2655799999999998E-2</v>
      </c>
      <c r="N10" s="24">
        <f t="shared" ref="N10:O10" si="2">+$B10*N4</f>
        <v>1.3981899999999998E-2</v>
      </c>
      <c r="O10" s="24">
        <f t="shared" si="2"/>
        <v>1.3981899999999998E-2</v>
      </c>
      <c r="P10" s="24">
        <f t="shared" ref="P10:Q10" si="3">+$B10*P4</f>
        <v>1.3981899999999998E-2</v>
      </c>
      <c r="Q10" s="24">
        <f t="shared" si="3"/>
        <v>1.3981899999999998E-2</v>
      </c>
      <c r="R10" s="24"/>
      <c r="S10" s="24"/>
    </row>
    <row r="11" spans="1:21" x14ac:dyDescent="0.2">
      <c r="A11" t="s">
        <v>92</v>
      </c>
      <c r="B11">
        <f>1-B9</f>
        <v>0.96499999999999997</v>
      </c>
      <c r="D11" s="24">
        <f>+B11*D5+B9*0.5*D5</f>
        <v>0.31852649999999999</v>
      </c>
      <c r="E11" s="24">
        <f>+B11*E5</f>
        <v>0.31285299999999999</v>
      </c>
      <c r="F11" s="24"/>
      <c r="G11" s="24"/>
      <c r="H11" s="24"/>
      <c r="I11" s="24"/>
      <c r="R11" s="24"/>
      <c r="S11" s="24"/>
    </row>
    <row r="12" spans="1:21" x14ac:dyDescent="0.2">
      <c r="A12" t="s">
        <v>93</v>
      </c>
      <c r="B12">
        <f>1-B10</f>
        <v>0.95550000000000002</v>
      </c>
      <c r="D12" s="24"/>
      <c r="E12" s="24"/>
      <c r="F12" s="24">
        <f>+B12*F5</f>
        <v>0.30021809999999999</v>
      </c>
      <c r="G12" s="24">
        <f>+B12*G5</f>
        <v>0.30021809999999999</v>
      </c>
      <c r="H12" s="24">
        <f t="shared" ref="H12:M12" si="4">+$B12*H5</f>
        <v>0.30021809999999999</v>
      </c>
      <c r="I12" s="24">
        <f t="shared" si="4"/>
        <v>0.30021809999999999</v>
      </c>
      <c r="J12" s="24">
        <f t="shared" si="4"/>
        <v>0.30021809999999999</v>
      </c>
      <c r="K12" s="24">
        <f t="shared" si="4"/>
        <v>0.30021809999999999</v>
      </c>
      <c r="L12" s="24">
        <f t="shared" si="4"/>
        <v>0.30021809999999999</v>
      </c>
      <c r="M12" s="24">
        <f t="shared" si="4"/>
        <v>0.30021809999999999</v>
      </c>
      <c r="N12" s="24">
        <f t="shared" ref="N12:O12" si="5">+$B12*N5</f>
        <v>0.30021809999999999</v>
      </c>
      <c r="O12" s="24">
        <f t="shared" si="5"/>
        <v>0.30021809999999999</v>
      </c>
      <c r="P12" s="24">
        <f t="shared" ref="P12:Q12" si="6">+$B12*P5</f>
        <v>0.30021809999999999</v>
      </c>
      <c r="Q12" s="24">
        <f t="shared" si="6"/>
        <v>0.30021809999999999</v>
      </c>
    </row>
    <row r="13" spans="1:21" x14ac:dyDescent="0.2">
      <c r="A13" s="44" t="s">
        <v>198</v>
      </c>
      <c r="B13">
        <f>1-B8</f>
        <v>0.97299999999999998</v>
      </c>
      <c r="R13" s="24">
        <f>R5*B13</f>
        <v>0.30571659999999995</v>
      </c>
      <c r="S13" s="24">
        <f>S5*B13</f>
        <v>0.30571659999999995</v>
      </c>
      <c r="T13" s="24">
        <f>T5*B13</f>
        <v>0.30571660000000001</v>
      </c>
    </row>
    <row r="14" spans="1:21" x14ac:dyDescent="0.2">
      <c r="A14" s="3" t="s">
        <v>94</v>
      </c>
      <c r="B14" s="3"/>
      <c r="C14" s="45">
        <f>+C5</f>
        <v>0.32279999999999998</v>
      </c>
      <c r="D14" s="45">
        <f t="shared" ref="D14:J14" si="7">SUM(D9:D12)</f>
        <v>0.32250075</v>
      </c>
      <c r="E14" s="45">
        <f t="shared" si="7"/>
        <v>0.32031149999999997</v>
      </c>
      <c r="F14" s="45">
        <f t="shared" si="7"/>
        <v>0.30711115</v>
      </c>
      <c r="G14" s="45">
        <f t="shared" si="7"/>
        <v>0.30711115</v>
      </c>
      <c r="H14" s="45">
        <f t="shared" si="7"/>
        <v>0.30711115</v>
      </c>
      <c r="I14" s="45">
        <f t="shared" si="7"/>
        <v>0.30711115</v>
      </c>
      <c r="J14" s="45">
        <f t="shared" si="7"/>
        <v>0.30711115</v>
      </c>
      <c r="K14" s="45">
        <f t="shared" ref="K14:L14" si="8">SUM(K9:K12)</f>
        <v>0.30711115</v>
      </c>
      <c r="L14" s="45">
        <f t="shared" si="8"/>
        <v>0.30711115</v>
      </c>
      <c r="M14" s="45">
        <f t="shared" ref="M14:N14" si="9">SUM(M9:M12)</f>
        <v>0.31287389999999998</v>
      </c>
      <c r="N14" s="45">
        <f t="shared" si="9"/>
        <v>0.31419999999999998</v>
      </c>
      <c r="O14" s="45">
        <f t="shared" ref="O14:P14" si="10">SUM(O9:O12)</f>
        <v>0.31419999999999998</v>
      </c>
      <c r="P14" s="45">
        <f t="shared" si="10"/>
        <v>0.31419999999999998</v>
      </c>
      <c r="Q14" s="45">
        <f t="shared" ref="Q14" si="11">SUM(Q9:Q12)</f>
        <v>0.31419999999999998</v>
      </c>
      <c r="R14" s="45">
        <f>SUM(R8:R13)</f>
        <v>0.31183277499999995</v>
      </c>
      <c r="S14" s="45">
        <f>SUM(S8:S13)</f>
        <v>0.31104369999999992</v>
      </c>
      <c r="T14" s="45">
        <f>SUM(T8:T13)</f>
        <v>0.31341092500000001</v>
      </c>
      <c r="U14" s="50">
        <v>0.31419999999999998</v>
      </c>
    </row>
    <row r="15" spans="1:21" x14ac:dyDescent="0.2">
      <c r="C15">
        <f t="shared" ref="C15:H15" si="12">1+C14</f>
        <v>1.3228</v>
      </c>
      <c r="D15">
        <f t="shared" si="12"/>
        <v>1.3225007500000001</v>
      </c>
      <c r="E15">
        <f t="shared" si="12"/>
        <v>1.3203114999999999</v>
      </c>
      <c r="F15">
        <f t="shared" si="12"/>
        <v>1.3071111499999999</v>
      </c>
      <c r="G15">
        <f t="shared" si="12"/>
        <v>1.3071111499999999</v>
      </c>
      <c r="H15">
        <f t="shared" si="12"/>
        <v>1.3071111499999999</v>
      </c>
      <c r="I15">
        <f t="shared" ref="I15:N15" si="13">1+I14</f>
        <v>1.3071111499999999</v>
      </c>
      <c r="J15">
        <f t="shared" si="13"/>
        <v>1.3071111499999999</v>
      </c>
      <c r="K15">
        <f t="shared" si="13"/>
        <v>1.3071111499999999</v>
      </c>
      <c r="L15">
        <f t="shared" si="13"/>
        <v>1.3071111499999999</v>
      </c>
      <c r="M15">
        <f t="shared" si="13"/>
        <v>1.3128739</v>
      </c>
      <c r="N15">
        <f t="shared" si="13"/>
        <v>1.3142</v>
      </c>
      <c r="O15">
        <f t="shared" ref="O15:P15" si="14">1+O14</f>
        <v>1.3142</v>
      </c>
      <c r="P15">
        <f t="shared" si="14"/>
        <v>1.3142</v>
      </c>
      <c r="Q15" s="28">
        <f>1+Q14</f>
        <v>1.3142</v>
      </c>
      <c r="R15" s="28">
        <f>1+R14</f>
        <v>1.3118327750000001</v>
      </c>
      <c r="S15" s="28">
        <f>1+S14</f>
        <v>1.3110436999999999</v>
      </c>
      <c r="T15" s="28">
        <f>1+T14</f>
        <v>1.3134109249999999</v>
      </c>
      <c r="U15" s="28">
        <f>1+U14</f>
        <v>1.3142</v>
      </c>
    </row>
    <row r="16" spans="1:21" x14ac:dyDescent="0.2">
      <c r="A16" t="s">
        <v>95</v>
      </c>
      <c r="D16" s="11">
        <f t="shared" ref="D16:L16" si="15">+(D15/C15-1)*100</f>
        <v>-2.2622467493182974E-2</v>
      </c>
      <c r="E16" s="11">
        <f t="shared" si="15"/>
        <v>-0.16553865848470961</v>
      </c>
      <c r="F16" s="11">
        <f>+(F15/E15-1)*100</f>
        <v>-0.99979057972303664</v>
      </c>
      <c r="G16" s="11">
        <f t="shared" si="15"/>
        <v>0</v>
      </c>
      <c r="H16" s="11">
        <f t="shared" si="15"/>
        <v>0</v>
      </c>
      <c r="I16" s="11">
        <f t="shared" si="15"/>
        <v>0</v>
      </c>
      <c r="J16" s="11">
        <f t="shared" si="15"/>
        <v>0</v>
      </c>
      <c r="K16" s="11">
        <f t="shared" si="15"/>
        <v>0</v>
      </c>
      <c r="L16" s="11">
        <f t="shared" si="15"/>
        <v>0</v>
      </c>
      <c r="M16" s="11">
        <f t="shared" ref="M16:R16" si="16">+(M15/L15-1)*100</f>
        <v>0.44087681449278548</v>
      </c>
      <c r="N16" s="11">
        <f t="shared" si="16"/>
        <v>0.10100741586833717</v>
      </c>
      <c r="O16" s="11">
        <f t="shared" si="16"/>
        <v>0</v>
      </c>
      <c r="P16" s="11">
        <f t="shared" si="16"/>
        <v>0</v>
      </c>
      <c r="Q16" s="11">
        <f t="shared" si="16"/>
        <v>0</v>
      </c>
      <c r="R16" s="11">
        <f t="shared" si="16"/>
        <v>-0.18012669304520168</v>
      </c>
      <c r="S16" s="11">
        <f>+(S15/R15-1)*100</f>
        <v>-6.0150578262552212E-2</v>
      </c>
      <c r="T16" s="11">
        <f>+(T15/S15-1)*100</f>
        <v>0.18056034287796674</v>
      </c>
      <c r="U16" s="11">
        <f>+(U15/T15-1)*100</f>
        <v>6.0078303368782393E-2</v>
      </c>
    </row>
    <row r="18" spans="12:12" x14ac:dyDescent="0.2">
      <c r="L18" s="33"/>
    </row>
    <row r="22" spans="12:12" x14ac:dyDescent="0.2">
      <c r="L22" s="28"/>
    </row>
    <row r="23" spans="12:12" x14ac:dyDescent="0.2">
      <c r="L23" s="28"/>
    </row>
    <row r="27" spans="12:12" x14ac:dyDescent="0.2">
      <c r="L27" s="28"/>
    </row>
    <row r="29" spans="12:12" x14ac:dyDescent="0.2">
      <c r="L29" s="28"/>
    </row>
    <row r="31" spans="12:12" x14ac:dyDescent="0.2">
      <c r="L31" s="28"/>
    </row>
    <row r="33" spans="12:12" x14ac:dyDescent="0.2">
      <c r="L33" s="11"/>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&amp;C2020-11-04&amp;R&amp;A</oddHeader>
    <oddFooter>&amp;L&amp;F&amp;C&amp;P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
  <sheetViews>
    <sheetView view="pageLayout" topLeftCell="D10" zoomScaleNormal="100" workbookViewId="0">
      <selection activeCell="U10" sqref="U10"/>
    </sheetView>
  </sheetViews>
  <sheetFormatPr defaultRowHeight="12.75" x14ac:dyDescent="0.2"/>
  <cols>
    <col min="1" max="1" width="31.42578125" customWidth="1"/>
    <col min="2" max="14" width="8.7109375" customWidth="1"/>
  </cols>
  <sheetData>
    <row r="1" spans="1:21" ht="15.75" x14ac:dyDescent="0.25">
      <c r="A1" s="8" t="s">
        <v>192</v>
      </c>
    </row>
    <row r="3" spans="1:21" x14ac:dyDescent="0.2">
      <c r="B3" s="3">
        <v>2006</v>
      </c>
      <c r="C3" s="3">
        <v>2007</v>
      </c>
      <c r="D3" s="3">
        <v>2008</v>
      </c>
      <c r="E3" s="3">
        <v>2009</v>
      </c>
      <c r="F3" s="3">
        <v>2010</v>
      </c>
      <c r="G3" s="3">
        <v>2011</v>
      </c>
      <c r="H3" s="3">
        <v>2012</v>
      </c>
      <c r="I3" s="3">
        <v>2013</v>
      </c>
      <c r="J3" s="3">
        <v>2014</v>
      </c>
      <c r="K3" s="3">
        <v>2015</v>
      </c>
      <c r="L3" s="3">
        <v>2016</v>
      </c>
      <c r="M3" s="3">
        <v>2017</v>
      </c>
      <c r="N3" s="3">
        <v>2018</v>
      </c>
      <c r="O3" s="3">
        <v>2018</v>
      </c>
      <c r="P3" s="3">
        <v>2019</v>
      </c>
      <c r="Q3" s="3">
        <v>2020</v>
      </c>
      <c r="R3" s="3">
        <v>2021</v>
      </c>
      <c r="S3" s="3">
        <v>2022</v>
      </c>
      <c r="T3" s="3">
        <v>2023</v>
      </c>
      <c r="U3" s="3">
        <v>2024</v>
      </c>
    </row>
    <row r="5" spans="1:21" x14ac:dyDescent="0.2">
      <c r="A5" t="s">
        <v>97</v>
      </c>
      <c r="B5" s="25">
        <v>175611</v>
      </c>
      <c r="C5" s="25">
        <v>182970</v>
      </c>
      <c r="D5" s="25">
        <v>190314</v>
      </c>
      <c r="E5" s="25">
        <v>192975</v>
      </c>
      <c r="F5" s="25">
        <v>195681</v>
      </c>
      <c r="G5" s="25">
        <v>201253</v>
      </c>
      <c r="H5" s="25">
        <v>208674</v>
      </c>
      <c r="I5" s="25">
        <f>214901113/1000</f>
        <v>214901.11300000001</v>
      </c>
    </row>
    <row r="6" spans="1:21" x14ac:dyDescent="0.2">
      <c r="A6" t="s">
        <v>98</v>
      </c>
      <c r="B6" s="25">
        <f>+B5*'Lagstadgade avgifter'!C15</f>
        <v>232298.23079999999</v>
      </c>
      <c r="C6" s="25">
        <f>+C5*'Lagstadgade avgifter'!D15</f>
        <v>241977.96222750001</v>
      </c>
      <c r="D6" s="25">
        <f>+D5*'Lagstadgade avgifter'!E15</f>
        <v>251273.76281099996</v>
      </c>
      <c r="E6" s="25">
        <f>+E5*'Lagstadgade avgifter'!F15</f>
        <v>252239.77417124997</v>
      </c>
      <c r="F6" s="25">
        <f>+F5*'Lagstadgade avgifter'!G15</f>
        <v>255776.81694314998</v>
      </c>
      <c r="G6" s="25">
        <f>+G5*'Lagstadgade avgifter'!H15</f>
        <v>263060.04027095</v>
      </c>
      <c r="H6" s="25">
        <v>276459</v>
      </c>
      <c r="I6" s="25">
        <f>+I5*'Lagstadgade avgifter'!J15</f>
        <v>280899.64094970992</v>
      </c>
      <c r="K6" s="25"/>
    </row>
    <row r="7" spans="1:21" x14ac:dyDescent="0.2">
      <c r="A7" t="s">
        <v>99</v>
      </c>
      <c r="B7" s="25">
        <v>14987</v>
      </c>
      <c r="C7" s="25">
        <v>15038</v>
      </c>
      <c r="D7" s="25">
        <v>15022</v>
      </c>
      <c r="E7" s="25">
        <v>15057</v>
      </c>
      <c r="F7" s="25">
        <v>15252</v>
      </c>
      <c r="G7" s="25">
        <v>16258</v>
      </c>
      <c r="H7" s="25">
        <v>15526</v>
      </c>
      <c r="I7" s="25">
        <f>15931888/1000</f>
        <v>15931.888000000001</v>
      </c>
    </row>
    <row r="8" spans="1:21" x14ac:dyDescent="0.2">
      <c r="A8" t="s">
        <v>96</v>
      </c>
      <c r="B8" s="23">
        <f t="shared" ref="B8:G8" si="0">+B7/B6</f>
        <v>6.4516203797106153E-2</v>
      </c>
      <c r="C8" s="23">
        <f t="shared" si="0"/>
        <v>6.2146155218307644E-2</v>
      </c>
      <c r="D8" s="23">
        <f t="shared" si="0"/>
        <v>5.9783400510856621E-2</v>
      </c>
      <c r="E8" s="23">
        <f t="shared" si="0"/>
        <v>5.969320282445837E-2</v>
      </c>
      <c r="F8" s="23">
        <f t="shared" si="0"/>
        <v>5.9630111056507409E-2</v>
      </c>
      <c r="G8" s="23">
        <f t="shared" si="0"/>
        <v>6.1803381400133493E-2</v>
      </c>
      <c r="H8" s="23">
        <f>+H7/H6</f>
        <v>5.6160226290335999E-2</v>
      </c>
      <c r="I8" s="23">
        <f>+I7/I6</f>
        <v>5.6717366907750234E-2</v>
      </c>
      <c r="J8" s="23">
        <v>0.06</v>
      </c>
      <c r="K8" s="23">
        <f t="shared" ref="K8:U8" si="1">+J8</f>
        <v>0.06</v>
      </c>
      <c r="L8" s="23">
        <f t="shared" si="1"/>
        <v>0.06</v>
      </c>
      <c r="M8" s="23">
        <f t="shared" si="1"/>
        <v>0.06</v>
      </c>
      <c r="N8" s="23">
        <f t="shared" si="1"/>
        <v>0.06</v>
      </c>
      <c r="O8" s="23">
        <f t="shared" si="1"/>
        <v>0.06</v>
      </c>
      <c r="P8" s="23">
        <f t="shared" si="1"/>
        <v>0.06</v>
      </c>
      <c r="Q8" s="23">
        <f t="shared" si="1"/>
        <v>0.06</v>
      </c>
      <c r="R8" s="23">
        <f t="shared" si="1"/>
        <v>0.06</v>
      </c>
      <c r="S8" s="23">
        <f t="shared" si="1"/>
        <v>0.06</v>
      </c>
      <c r="T8" s="23">
        <f t="shared" si="1"/>
        <v>0.06</v>
      </c>
      <c r="U8" s="23">
        <f t="shared" si="1"/>
        <v>0.06</v>
      </c>
    </row>
    <row r="10" spans="1:21" x14ac:dyDescent="0.2">
      <c r="A10" t="s">
        <v>86</v>
      </c>
    </row>
    <row r="13" spans="1:21" x14ac:dyDescent="0.2">
      <c r="A13" s="3" t="s">
        <v>100</v>
      </c>
    </row>
    <row r="14" spans="1:21" x14ac:dyDescent="0.2">
      <c r="A14" s="3" t="s">
        <v>131</v>
      </c>
    </row>
    <row r="16" spans="1:21" x14ac:dyDescent="0.2">
      <c r="A16" s="3" t="s">
        <v>188</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30"/>
  <sheetViews>
    <sheetView view="pageLayout" topLeftCell="A201" zoomScaleNormal="100" workbookViewId="0">
      <selection activeCell="L225" sqref="L225"/>
    </sheetView>
  </sheetViews>
  <sheetFormatPr defaultRowHeight="12.75" x14ac:dyDescent="0.2"/>
  <cols>
    <col min="2" max="2" width="12.140625" customWidth="1"/>
    <col min="3" max="3" width="12.42578125" customWidth="1"/>
    <col min="4" max="4" width="12.85546875" customWidth="1"/>
  </cols>
  <sheetData>
    <row r="1" spans="1:4" ht="38.25" x14ac:dyDescent="0.2">
      <c r="B1" s="12" t="s">
        <v>63</v>
      </c>
      <c r="C1" s="12" t="s">
        <v>65</v>
      </c>
      <c r="D1" s="12" t="s">
        <v>64</v>
      </c>
    </row>
    <row r="2" spans="1:4" x14ac:dyDescent="0.2">
      <c r="B2" s="12"/>
      <c r="C2" s="12"/>
      <c r="D2" s="12"/>
    </row>
    <row r="3" spans="1:4" x14ac:dyDescent="0.2">
      <c r="A3" t="s">
        <v>73</v>
      </c>
      <c r="B3">
        <v>279.39999999999998</v>
      </c>
      <c r="D3" s="12"/>
    </row>
    <row r="4" spans="1:4" x14ac:dyDescent="0.2">
      <c r="A4" s="9" t="s">
        <v>74</v>
      </c>
      <c r="B4" s="21">
        <v>277.89999999999998</v>
      </c>
      <c r="D4" s="12"/>
    </row>
    <row r="5" spans="1:4" x14ac:dyDescent="0.2">
      <c r="A5" s="9" t="s">
        <v>75</v>
      </c>
      <c r="B5" s="21">
        <v>279.2</v>
      </c>
      <c r="D5" s="12"/>
    </row>
    <row r="6" spans="1:4" x14ac:dyDescent="0.2">
      <c r="A6" s="9" t="s">
        <v>76</v>
      </c>
      <c r="B6" s="21">
        <v>279.8</v>
      </c>
      <c r="D6" s="12"/>
    </row>
    <row r="7" spans="1:4" x14ac:dyDescent="0.2">
      <c r="A7" s="9" t="s">
        <v>77</v>
      </c>
      <c r="B7" s="21">
        <v>280.2</v>
      </c>
      <c r="D7" s="12"/>
    </row>
    <row r="8" spans="1:4" x14ac:dyDescent="0.2">
      <c r="A8" s="9" t="s">
        <v>78</v>
      </c>
      <c r="B8" s="21">
        <v>280.3</v>
      </c>
      <c r="D8" s="12"/>
    </row>
    <row r="9" spans="1:4" x14ac:dyDescent="0.2">
      <c r="A9" s="9" t="s">
        <v>79</v>
      </c>
      <c r="B9" s="21">
        <v>280.39999999999998</v>
      </c>
      <c r="D9" s="12"/>
    </row>
    <row r="10" spans="1:4" x14ac:dyDescent="0.2">
      <c r="A10" s="9" t="s">
        <v>80</v>
      </c>
      <c r="B10" s="21">
        <v>279.39999999999998</v>
      </c>
      <c r="D10" s="12"/>
    </row>
    <row r="11" spans="1:4" x14ac:dyDescent="0.2">
      <c r="A11" s="9" t="s">
        <v>81</v>
      </c>
      <c r="B11" s="21">
        <v>279.89999999999998</v>
      </c>
      <c r="D11" s="12"/>
    </row>
    <row r="12" spans="1:4" x14ac:dyDescent="0.2">
      <c r="A12" s="9" t="s">
        <v>82</v>
      </c>
      <c r="B12" s="21">
        <v>281.89999999999998</v>
      </c>
      <c r="D12" s="12"/>
    </row>
    <row r="13" spans="1:4" x14ac:dyDescent="0.2">
      <c r="A13" s="9" t="s">
        <v>83</v>
      </c>
      <c r="B13" s="21">
        <v>282.39999999999998</v>
      </c>
      <c r="D13" s="12"/>
    </row>
    <row r="14" spans="1:4" x14ac:dyDescent="0.2">
      <c r="A14" s="9" t="s">
        <v>84</v>
      </c>
      <c r="B14" s="21">
        <v>281.7</v>
      </c>
      <c r="C14" s="11">
        <f>AVERAGE(B3:B14)</f>
        <v>280.20833333333331</v>
      </c>
      <c r="D14" s="12"/>
    </row>
    <row r="15" spans="1:4" x14ac:dyDescent="0.2">
      <c r="A15" s="9" t="s">
        <v>85</v>
      </c>
      <c r="B15" s="21">
        <v>281.8</v>
      </c>
      <c r="D15" s="12"/>
    </row>
    <row r="16" spans="1:4" x14ac:dyDescent="0.2">
      <c r="A16" s="9" t="s">
        <v>15</v>
      </c>
      <c r="B16" s="10">
        <v>279.58999999999997</v>
      </c>
    </row>
    <row r="17" spans="1:4" x14ac:dyDescent="0.2">
      <c r="A17" s="9" t="s">
        <v>16</v>
      </c>
      <c r="B17" s="10">
        <v>280.89999999999998</v>
      </c>
    </row>
    <row r="18" spans="1:4" x14ac:dyDescent="0.2">
      <c r="A18" s="9" t="s">
        <v>17</v>
      </c>
      <c r="B18" s="10">
        <v>282.89</v>
      </c>
    </row>
    <row r="19" spans="1:4" x14ac:dyDescent="0.2">
      <c r="A19" s="9" t="s">
        <v>18</v>
      </c>
      <c r="B19" s="10">
        <v>284.32</v>
      </c>
    </row>
    <row r="20" spans="1:4" x14ac:dyDescent="0.2">
      <c r="A20" s="9" t="s">
        <v>19</v>
      </c>
      <c r="B20" s="10">
        <v>284.76</v>
      </c>
    </row>
    <row r="21" spans="1:4" x14ac:dyDescent="0.2">
      <c r="A21" s="9" t="s">
        <v>20</v>
      </c>
      <c r="B21" s="10">
        <v>284.68</v>
      </c>
    </row>
    <row r="22" spans="1:4" x14ac:dyDescent="0.2">
      <c r="A22" s="9" t="s">
        <v>21</v>
      </c>
      <c r="B22" s="10">
        <v>284.19</v>
      </c>
    </row>
    <row r="23" spans="1:4" x14ac:dyDescent="0.2">
      <c r="A23" s="9" t="s">
        <v>22</v>
      </c>
      <c r="B23" s="10">
        <v>284.38</v>
      </c>
    </row>
    <row r="24" spans="1:4" x14ac:dyDescent="0.2">
      <c r="A24" s="9" t="s">
        <v>23</v>
      </c>
      <c r="B24" s="10">
        <v>286.04000000000002</v>
      </c>
    </row>
    <row r="25" spans="1:4" x14ac:dyDescent="0.2">
      <c r="A25" s="9" t="s">
        <v>24</v>
      </c>
      <c r="B25" s="10">
        <v>286.07</v>
      </c>
    </row>
    <row r="26" spans="1:4" x14ac:dyDescent="0.2">
      <c r="A26" s="9" t="s">
        <v>25</v>
      </c>
      <c r="B26" s="10">
        <v>286.43</v>
      </c>
      <c r="C26" s="11">
        <f>AVERAGE(B15:B26)</f>
        <v>283.83749999999998</v>
      </c>
      <c r="D26" s="11">
        <f>+(C26/C14-1)*100</f>
        <v>1.2951672862453467</v>
      </c>
    </row>
    <row r="27" spans="1:4" x14ac:dyDescent="0.2">
      <c r="A27" s="9" t="s">
        <v>26</v>
      </c>
      <c r="B27" s="10">
        <v>286.43</v>
      </c>
      <c r="C27" s="11"/>
      <c r="D27" s="11"/>
    </row>
    <row r="28" spans="1:4" x14ac:dyDescent="0.2">
      <c r="A28" s="9" t="s">
        <v>27</v>
      </c>
      <c r="B28" s="10">
        <v>285.01</v>
      </c>
      <c r="C28" s="11"/>
      <c r="D28" s="11"/>
    </row>
    <row r="29" spans="1:4" x14ac:dyDescent="0.2">
      <c r="A29" s="9" t="s">
        <v>28</v>
      </c>
      <c r="B29" s="10">
        <v>286.45</v>
      </c>
      <c r="C29" s="11"/>
      <c r="D29" s="11"/>
    </row>
    <row r="30" spans="1:4" x14ac:dyDescent="0.2">
      <c r="A30" s="9" t="s">
        <v>29</v>
      </c>
      <c r="B30" s="10">
        <v>288.33</v>
      </c>
      <c r="C30" s="11"/>
      <c r="D30" s="11"/>
    </row>
    <row r="31" spans="1:4" x14ac:dyDescent="0.2">
      <c r="A31" s="9" t="s">
        <v>30</v>
      </c>
      <c r="B31" s="10">
        <v>289.79000000000002</v>
      </c>
      <c r="C31" s="11"/>
      <c r="D31" s="11"/>
    </row>
    <row r="32" spans="1:4" x14ac:dyDescent="0.2">
      <c r="A32" s="9" t="s">
        <v>31</v>
      </c>
      <c r="B32" s="10">
        <v>289.48</v>
      </c>
      <c r="C32" s="11"/>
      <c r="D32" s="11"/>
    </row>
    <row r="33" spans="1:4" x14ac:dyDescent="0.2">
      <c r="A33" s="9" t="s">
        <v>32</v>
      </c>
      <c r="B33" s="10">
        <v>289.95</v>
      </c>
      <c r="C33" s="11"/>
      <c r="D33" s="11"/>
    </row>
    <row r="34" spans="1:4" x14ac:dyDescent="0.2">
      <c r="A34" s="9" t="s">
        <v>33</v>
      </c>
      <c r="B34" s="10">
        <v>289.49</v>
      </c>
      <c r="C34" s="11"/>
      <c r="D34" s="11"/>
    </row>
    <row r="35" spans="1:4" x14ac:dyDescent="0.2">
      <c r="A35" s="9" t="s">
        <v>34</v>
      </c>
      <c r="B35" s="10">
        <v>289.41000000000003</v>
      </c>
      <c r="C35" s="11"/>
      <c r="D35" s="11"/>
    </row>
    <row r="36" spans="1:4" x14ac:dyDescent="0.2">
      <c r="A36" s="9" t="s">
        <v>35</v>
      </c>
      <c r="B36" s="10">
        <v>292.3</v>
      </c>
      <c r="C36" s="11"/>
      <c r="D36" s="11"/>
    </row>
    <row r="37" spans="1:4" x14ac:dyDescent="0.2">
      <c r="A37" s="9" t="s">
        <v>36</v>
      </c>
      <c r="B37" s="10">
        <v>293.85000000000002</v>
      </c>
      <c r="C37" s="11"/>
      <c r="D37" s="11"/>
    </row>
    <row r="38" spans="1:4" x14ac:dyDescent="0.2">
      <c r="A38" s="9" t="s">
        <v>37</v>
      </c>
      <c r="B38" s="10">
        <v>295.75</v>
      </c>
      <c r="C38" s="11">
        <f>AVERAGE(B27:B38)</f>
        <v>289.68666666666667</v>
      </c>
      <c r="D38" s="11">
        <f>+(C38/C26-1)*100</f>
        <v>2.0607448510738369</v>
      </c>
    </row>
    <row r="39" spans="1:4" x14ac:dyDescent="0.2">
      <c r="A39" s="9" t="s">
        <v>38</v>
      </c>
      <c r="B39" s="10">
        <v>296.32</v>
      </c>
      <c r="C39" s="11"/>
      <c r="D39" s="11"/>
    </row>
    <row r="40" spans="1:4" x14ac:dyDescent="0.2">
      <c r="A40" s="9" t="s">
        <v>39</v>
      </c>
      <c r="B40" s="10">
        <v>294.08999999999997</v>
      </c>
      <c r="C40" s="11"/>
      <c r="D40" s="11"/>
    </row>
    <row r="41" spans="1:4" x14ac:dyDescent="0.2">
      <c r="A41" s="9" t="s">
        <v>40</v>
      </c>
      <c r="B41" s="10">
        <v>295.27999999999997</v>
      </c>
      <c r="C41" s="11"/>
      <c r="D41" s="11"/>
    </row>
    <row r="42" spans="1:4" x14ac:dyDescent="0.2">
      <c r="A42" s="9" t="s">
        <v>41</v>
      </c>
      <c r="B42" s="10">
        <v>298.08</v>
      </c>
      <c r="C42" s="11"/>
      <c r="D42" s="11"/>
    </row>
    <row r="43" spans="1:4" x14ac:dyDescent="0.2">
      <c r="A43" s="9" t="s">
        <v>42</v>
      </c>
      <c r="B43" s="10">
        <v>299.67</v>
      </c>
      <c r="C43" s="11"/>
      <c r="D43" s="11"/>
    </row>
    <row r="44" spans="1:4" x14ac:dyDescent="0.2">
      <c r="A44" s="9" t="s">
        <v>43</v>
      </c>
      <c r="B44" s="10">
        <v>300.99</v>
      </c>
      <c r="C44" s="11"/>
      <c r="D44" s="11"/>
    </row>
    <row r="45" spans="1:4" x14ac:dyDescent="0.2">
      <c r="A45" s="9" t="s">
        <v>44</v>
      </c>
      <c r="B45" s="10">
        <v>302.45</v>
      </c>
      <c r="C45" s="11"/>
      <c r="D45" s="11"/>
    </row>
    <row r="46" spans="1:4" x14ac:dyDescent="0.2">
      <c r="A46" s="9" t="s">
        <v>45</v>
      </c>
      <c r="B46" s="10">
        <v>302.11</v>
      </c>
      <c r="C46" s="11"/>
      <c r="D46" s="11"/>
    </row>
    <row r="47" spans="1:4" x14ac:dyDescent="0.2">
      <c r="A47" s="9" t="s">
        <v>46</v>
      </c>
      <c r="B47" s="10">
        <v>301.98</v>
      </c>
      <c r="C47" s="11"/>
      <c r="D47" s="11"/>
    </row>
    <row r="48" spans="1:4" x14ac:dyDescent="0.2">
      <c r="A48" s="9" t="s">
        <v>47</v>
      </c>
      <c r="B48" s="10">
        <v>305.08</v>
      </c>
      <c r="C48" s="11"/>
      <c r="D48" s="11"/>
    </row>
    <row r="49" spans="1:4" x14ac:dyDescent="0.2">
      <c r="A49" s="9" t="s">
        <v>48</v>
      </c>
      <c r="B49" s="10">
        <v>305.56</v>
      </c>
      <c r="C49" s="11"/>
      <c r="D49" s="11"/>
    </row>
    <row r="50" spans="1:4" x14ac:dyDescent="0.2">
      <c r="A50" s="9" t="s">
        <v>49</v>
      </c>
      <c r="B50" s="10">
        <v>303.06</v>
      </c>
      <c r="C50" s="11">
        <f>AVERAGE(B39:B50)</f>
        <v>300.38916666666665</v>
      </c>
      <c r="D50" s="11">
        <f>+(C50/C38-1)*100</f>
        <v>3.6945090097346478</v>
      </c>
    </row>
    <row r="51" spans="1:4" x14ac:dyDescent="0.2">
      <c r="A51" s="9" t="s">
        <v>50</v>
      </c>
      <c r="B51" s="10">
        <v>298.99</v>
      </c>
      <c r="C51" s="11"/>
      <c r="D51" s="11"/>
    </row>
    <row r="52" spans="1:4" x14ac:dyDescent="0.2">
      <c r="A52" s="9" t="s">
        <v>51</v>
      </c>
      <c r="B52" s="10">
        <v>297.88</v>
      </c>
      <c r="C52" s="11"/>
      <c r="D52" s="11"/>
    </row>
    <row r="53" spans="1:4" x14ac:dyDescent="0.2">
      <c r="A53" s="9" t="s">
        <v>52</v>
      </c>
      <c r="B53" s="10">
        <v>297.95</v>
      </c>
      <c r="C53" s="11"/>
      <c r="D53" s="11"/>
    </row>
    <row r="54" spans="1:4" x14ac:dyDescent="0.2">
      <c r="A54" s="9" t="s">
        <v>53</v>
      </c>
      <c r="B54" s="10">
        <v>298.8</v>
      </c>
      <c r="C54" s="11"/>
      <c r="D54" s="11"/>
    </row>
    <row r="55" spans="1:4" x14ac:dyDescent="0.2">
      <c r="A55" s="9" t="s">
        <v>54</v>
      </c>
      <c r="B55" s="10">
        <v>299.26</v>
      </c>
      <c r="C55" s="11"/>
      <c r="D55" s="11"/>
    </row>
    <row r="56" spans="1:4" x14ac:dyDescent="0.2">
      <c r="A56" s="9" t="s">
        <v>55</v>
      </c>
      <c r="B56" s="10">
        <v>299.45</v>
      </c>
      <c r="C56" s="11"/>
      <c r="D56" s="11"/>
    </row>
    <row r="57" spans="1:4" x14ac:dyDescent="0.2">
      <c r="A57" s="9" t="s">
        <v>56</v>
      </c>
      <c r="B57" s="10">
        <v>300.17</v>
      </c>
      <c r="C57" s="11"/>
      <c r="D57" s="11"/>
    </row>
    <row r="58" spans="1:4" x14ac:dyDescent="0.2">
      <c r="A58" s="9" t="s">
        <v>57</v>
      </c>
      <c r="B58" s="10">
        <v>298.8</v>
      </c>
      <c r="C58" s="11"/>
      <c r="D58" s="11"/>
    </row>
    <row r="59" spans="1:4" x14ac:dyDescent="0.2">
      <c r="A59" s="9" t="s">
        <v>58</v>
      </c>
      <c r="B59" s="10">
        <v>299.42</v>
      </c>
      <c r="C59" s="11"/>
      <c r="D59" s="11"/>
    </row>
    <row r="60" spans="1:4" x14ac:dyDescent="0.2">
      <c r="A60" s="9" t="s">
        <v>59</v>
      </c>
      <c r="B60" s="10">
        <v>300.35000000000002</v>
      </c>
      <c r="C60" s="11"/>
      <c r="D60" s="11"/>
    </row>
    <row r="61" spans="1:4" x14ac:dyDescent="0.2">
      <c r="A61" s="9" t="s">
        <v>60</v>
      </c>
      <c r="B61" s="10">
        <v>301.11</v>
      </c>
      <c r="C61" s="11"/>
      <c r="D61" s="11"/>
    </row>
    <row r="62" spans="1:4" x14ac:dyDescent="0.2">
      <c r="A62" s="9" t="s">
        <v>61</v>
      </c>
      <c r="B62" s="10">
        <v>301.02999999999997</v>
      </c>
      <c r="C62" s="11">
        <f>AVERAGE(B51:B62)</f>
        <v>299.43416666666667</v>
      </c>
      <c r="D62" s="11">
        <f>+(C62/C50-1)*100</f>
        <v>-0.3179209192519683</v>
      </c>
    </row>
    <row r="63" spans="1:4" x14ac:dyDescent="0.2">
      <c r="A63" s="9" t="s">
        <v>62</v>
      </c>
      <c r="B63" s="10">
        <v>301.69</v>
      </c>
      <c r="C63" s="11"/>
      <c r="D63" s="11"/>
    </row>
    <row r="64" spans="1:4" x14ac:dyDescent="0.2">
      <c r="A64" t="s">
        <v>106</v>
      </c>
      <c r="B64" s="10">
        <v>299.79000000000002</v>
      </c>
      <c r="C64" s="11"/>
      <c r="D64" s="11"/>
    </row>
    <row r="65" spans="1:4" x14ac:dyDescent="0.2">
      <c r="A65" t="s">
        <v>107</v>
      </c>
      <c r="B65" s="10">
        <v>301.58999999999997</v>
      </c>
    </row>
    <row r="66" spans="1:4" x14ac:dyDescent="0.2">
      <c r="A66" t="s">
        <v>108</v>
      </c>
      <c r="B66" s="10">
        <v>302.32</v>
      </c>
    </row>
    <row r="67" spans="1:4" x14ac:dyDescent="0.2">
      <c r="A67" t="s">
        <v>109</v>
      </c>
      <c r="B67" s="10">
        <v>302.36</v>
      </c>
    </row>
    <row r="68" spans="1:4" x14ac:dyDescent="0.2">
      <c r="A68" t="s">
        <v>110</v>
      </c>
      <c r="B68" s="10">
        <v>302.92</v>
      </c>
    </row>
    <row r="69" spans="1:4" x14ac:dyDescent="0.2">
      <c r="A69" t="s">
        <v>111</v>
      </c>
      <c r="B69" s="10">
        <v>302.97000000000003</v>
      </c>
    </row>
    <row r="70" spans="1:4" x14ac:dyDescent="0.2">
      <c r="A70" t="s">
        <v>112</v>
      </c>
      <c r="B70" s="10">
        <v>302.04000000000002</v>
      </c>
    </row>
    <row r="71" spans="1:4" x14ac:dyDescent="0.2">
      <c r="A71" t="s">
        <v>113</v>
      </c>
      <c r="B71" s="10">
        <v>302.06</v>
      </c>
    </row>
    <row r="72" spans="1:4" x14ac:dyDescent="0.2">
      <c r="A72" t="s">
        <v>114</v>
      </c>
      <c r="B72" s="10">
        <v>304.60000000000002</v>
      </c>
    </row>
    <row r="73" spans="1:4" x14ac:dyDescent="0.2">
      <c r="A73" t="s">
        <v>115</v>
      </c>
      <c r="B73" s="10">
        <v>305.57</v>
      </c>
      <c r="C73" s="11"/>
    </row>
    <row r="74" spans="1:4" x14ac:dyDescent="0.2">
      <c r="A74" t="s">
        <v>116</v>
      </c>
      <c r="B74" s="10">
        <v>306.58</v>
      </c>
      <c r="C74" s="11">
        <f>AVERAGE(B63:B74)</f>
        <v>302.87416666666667</v>
      </c>
      <c r="D74" s="11">
        <f>+(C74/C62-1)*100</f>
        <v>1.1488334942850509</v>
      </c>
    </row>
    <row r="75" spans="1:4" x14ac:dyDescent="0.2">
      <c r="A75" t="s">
        <v>117</v>
      </c>
      <c r="B75">
        <v>308.73</v>
      </c>
    </row>
    <row r="76" spans="1:4" x14ac:dyDescent="0.2">
      <c r="A76" t="s">
        <v>119</v>
      </c>
      <c r="B76">
        <v>306.14999999999998</v>
      </c>
    </row>
    <row r="77" spans="1:4" x14ac:dyDescent="0.2">
      <c r="A77" t="s">
        <v>120</v>
      </c>
      <c r="B77">
        <v>308.02</v>
      </c>
    </row>
    <row r="78" spans="1:4" x14ac:dyDescent="0.2">
      <c r="A78" t="s">
        <v>121</v>
      </c>
      <c r="B78">
        <v>310.11</v>
      </c>
    </row>
    <row r="79" spans="1:4" x14ac:dyDescent="0.2">
      <c r="A79" t="s">
        <v>122</v>
      </c>
      <c r="B79">
        <v>311.44</v>
      </c>
    </row>
    <row r="80" spans="1:4" x14ac:dyDescent="0.2">
      <c r="A80" t="s">
        <v>123</v>
      </c>
      <c r="B80">
        <v>312.02</v>
      </c>
    </row>
    <row r="81" spans="1:4" x14ac:dyDescent="0.2">
      <c r="A81" t="s">
        <v>124</v>
      </c>
      <c r="B81">
        <v>311.27999999999997</v>
      </c>
    </row>
    <row r="82" spans="1:4" x14ac:dyDescent="0.2">
      <c r="A82" t="s">
        <v>125</v>
      </c>
      <c r="B82">
        <v>311.13</v>
      </c>
    </row>
    <row r="83" spans="1:4" x14ac:dyDescent="0.2">
      <c r="A83" t="s">
        <v>126</v>
      </c>
      <c r="B83">
        <v>311.23</v>
      </c>
    </row>
    <row r="84" spans="1:4" x14ac:dyDescent="0.2">
      <c r="A84" t="s">
        <v>127</v>
      </c>
      <c r="B84">
        <v>313.41000000000003</v>
      </c>
    </row>
    <row r="85" spans="1:4" x14ac:dyDescent="0.2">
      <c r="A85" t="s">
        <v>128</v>
      </c>
      <c r="B85">
        <v>313.42</v>
      </c>
      <c r="C85" s="11"/>
      <c r="D85" s="11"/>
    </row>
    <row r="86" spans="1:4" x14ac:dyDescent="0.2">
      <c r="A86" t="s">
        <v>129</v>
      </c>
      <c r="B86">
        <v>314.16000000000003</v>
      </c>
      <c r="C86" s="11">
        <f>AVERAGE(B75:B86)</f>
        <v>310.92500000000001</v>
      </c>
      <c r="D86" s="11">
        <f>+(C86/C74-1)*100</f>
        <v>2.6581446090097938</v>
      </c>
    </row>
    <row r="87" spans="1:4" x14ac:dyDescent="0.2">
      <c r="A87" t="s">
        <v>133</v>
      </c>
      <c r="B87">
        <v>314.77999999999997</v>
      </c>
    </row>
    <row r="88" spans="1:4" x14ac:dyDescent="0.2">
      <c r="A88" t="s">
        <v>134</v>
      </c>
      <c r="B88">
        <v>311.85000000000002</v>
      </c>
    </row>
    <row r="89" spans="1:4" x14ac:dyDescent="0.2">
      <c r="A89" t="s">
        <v>135</v>
      </c>
      <c r="B89">
        <v>313.92</v>
      </c>
    </row>
    <row r="90" spans="1:4" x14ac:dyDescent="0.2">
      <c r="A90" t="s">
        <v>136</v>
      </c>
      <c r="B90">
        <v>314.8</v>
      </c>
    </row>
    <row r="91" spans="1:4" x14ac:dyDescent="0.2">
      <c r="A91" t="s">
        <v>137</v>
      </c>
      <c r="B91">
        <v>315.49</v>
      </c>
    </row>
    <row r="92" spans="1:4" x14ac:dyDescent="0.2">
      <c r="A92" t="s">
        <v>138</v>
      </c>
      <c r="B92">
        <v>315.23</v>
      </c>
    </row>
    <row r="93" spans="1:4" x14ac:dyDescent="0.2">
      <c r="A93" t="s">
        <v>139</v>
      </c>
      <c r="B93">
        <v>314.45</v>
      </c>
    </row>
    <row r="94" spans="1:4" x14ac:dyDescent="0.2">
      <c r="A94" t="s">
        <v>140</v>
      </c>
      <c r="B94">
        <v>313.23</v>
      </c>
    </row>
    <row r="95" spans="1:4" x14ac:dyDescent="0.2">
      <c r="A95" t="s">
        <v>141</v>
      </c>
      <c r="B95">
        <v>313.55</v>
      </c>
    </row>
    <row r="96" spans="1:4" x14ac:dyDescent="0.2">
      <c r="A96" t="s">
        <v>142</v>
      </c>
      <c r="B96">
        <v>314.81</v>
      </c>
    </row>
    <row r="97" spans="1:4" x14ac:dyDescent="0.2">
      <c r="A97" t="s">
        <v>143</v>
      </c>
      <c r="B97">
        <v>314.58999999999997</v>
      </c>
    </row>
    <row r="98" spans="1:4" x14ac:dyDescent="0.2">
      <c r="A98" t="s">
        <v>144</v>
      </c>
      <c r="B98">
        <v>313.82</v>
      </c>
      <c r="C98" s="11">
        <f>AVERAGE(B87:B98)</f>
        <v>314.21000000000004</v>
      </c>
      <c r="D98" s="11">
        <f>+(C98/C86-1)*100</f>
        <v>1.0565248854225384</v>
      </c>
    </row>
    <row r="99" spans="1:4" x14ac:dyDescent="0.2">
      <c r="A99" t="s">
        <v>149</v>
      </c>
      <c r="B99" s="11">
        <v>314.61</v>
      </c>
    </row>
    <row r="100" spans="1:4" x14ac:dyDescent="0.2">
      <c r="A100" t="s">
        <v>150</v>
      </c>
      <c r="B100" s="11">
        <v>312</v>
      </c>
    </row>
    <row r="101" spans="1:4" x14ac:dyDescent="0.2">
      <c r="A101" t="s">
        <v>151</v>
      </c>
      <c r="B101" s="11">
        <v>313.39</v>
      </c>
    </row>
    <row r="102" spans="1:4" x14ac:dyDescent="0.2">
      <c r="A102" t="s">
        <v>152</v>
      </c>
      <c r="B102" s="11">
        <v>314.64999999999998</v>
      </c>
    </row>
    <row r="103" spans="1:4" x14ac:dyDescent="0.2">
      <c r="A103" t="s">
        <v>153</v>
      </c>
      <c r="B103" s="11">
        <v>314.02999999999997</v>
      </c>
    </row>
    <row r="104" spans="1:4" x14ac:dyDescent="0.2">
      <c r="A104" t="s">
        <v>154</v>
      </c>
      <c r="B104" s="11">
        <v>314.54000000000002</v>
      </c>
    </row>
    <row r="105" spans="1:4" x14ac:dyDescent="0.2">
      <c r="A105" t="s">
        <v>155</v>
      </c>
      <c r="B105" s="11">
        <v>313.99</v>
      </c>
    </row>
    <row r="106" spans="1:4" x14ac:dyDescent="0.2">
      <c r="A106" t="s">
        <v>156</v>
      </c>
      <c r="B106" s="11">
        <v>313.55</v>
      </c>
    </row>
    <row r="107" spans="1:4" x14ac:dyDescent="0.2">
      <c r="A107" t="s">
        <v>157</v>
      </c>
      <c r="B107" s="11">
        <v>313.83999999999997</v>
      </c>
    </row>
    <row r="108" spans="1:4" x14ac:dyDescent="0.2">
      <c r="A108" t="s">
        <v>158</v>
      </c>
      <c r="B108" s="11">
        <v>315.05</v>
      </c>
    </row>
    <row r="109" spans="1:4" x14ac:dyDescent="0.2">
      <c r="A109" t="s">
        <v>159</v>
      </c>
      <c r="B109" s="11">
        <v>314.39999999999998</v>
      </c>
    </row>
    <row r="110" spans="1:4" x14ac:dyDescent="0.2">
      <c r="A110" t="s">
        <v>160</v>
      </c>
      <c r="B110" s="11">
        <v>314.2</v>
      </c>
      <c r="C110" s="11">
        <f>AVERAGE(B99:B110)</f>
        <v>314.02083333333337</v>
      </c>
      <c r="D110" s="11">
        <f>+(C110/C98-1)*100</f>
        <v>-6.020389760563738E-2</v>
      </c>
    </row>
    <row r="111" spans="1:4" x14ac:dyDescent="0.2">
      <c r="A111" t="s">
        <v>161</v>
      </c>
      <c r="B111">
        <v>315.04000000000002</v>
      </c>
    </row>
    <row r="112" spans="1:4" x14ac:dyDescent="0.2">
      <c r="A112" t="s">
        <v>162</v>
      </c>
      <c r="B112">
        <v>311.39</v>
      </c>
    </row>
    <row r="113" spans="1:29" x14ac:dyDescent="0.2">
      <c r="A113" t="s">
        <v>163</v>
      </c>
      <c r="B113">
        <v>312.7</v>
      </c>
    </row>
    <row r="114" spans="1:29" x14ac:dyDescent="0.2">
      <c r="A114" t="s">
        <v>164</v>
      </c>
      <c r="B114">
        <v>312.68</v>
      </c>
    </row>
    <row r="115" spans="1:29" x14ac:dyDescent="0.2">
      <c r="A115" t="s">
        <v>165</v>
      </c>
      <c r="B115">
        <v>313.89</v>
      </c>
    </row>
    <row r="116" spans="1:29" x14ac:dyDescent="0.2">
      <c r="A116" t="s">
        <v>166</v>
      </c>
      <c r="B116">
        <v>314.05</v>
      </c>
    </row>
    <row r="117" spans="1:29" x14ac:dyDescent="0.2">
      <c r="A117" t="s">
        <v>167</v>
      </c>
      <c r="B117">
        <v>314.7</v>
      </c>
    </row>
    <row r="118" spans="1:29" ht="15" x14ac:dyDescent="0.25">
      <c r="A118" t="s">
        <v>168</v>
      </c>
      <c r="B118">
        <v>313.67</v>
      </c>
      <c r="H118" s="38"/>
      <c r="I118" s="38"/>
      <c r="J118" s="38"/>
      <c r="K118" s="38"/>
      <c r="L118" s="38"/>
      <c r="M118" s="38"/>
      <c r="N118" s="38"/>
      <c r="O118" s="38"/>
      <c r="P118" s="38"/>
      <c r="Q118" s="38"/>
      <c r="R118" s="38"/>
      <c r="S118" s="38"/>
      <c r="T118" s="38"/>
      <c r="U118" s="38"/>
      <c r="V118" s="38"/>
      <c r="W118" s="38"/>
      <c r="X118" s="38"/>
      <c r="Y118" s="38"/>
      <c r="Z118" s="38"/>
      <c r="AA118" s="38"/>
      <c r="AB118" s="38"/>
      <c r="AC118" s="38"/>
    </row>
    <row r="119" spans="1:29" x14ac:dyDescent="0.2">
      <c r="A119" t="s">
        <v>169</v>
      </c>
      <c r="B119">
        <v>313.35000000000002</v>
      </c>
    </row>
    <row r="120" spans="1:29" x14ac:dyDescent="0.2">
      <c r="A120" t="s">
        <v>170</v>
      </c>
      <c r="B120">
        <v>313.85000000000002</v>
      </c>
    </row>
    <row r="121" spans="1:29" x14ac:dyDescent="0.2">
      <c r="A121" t="s">
        <v>171</v>
      </c>
      <c r="B121">
        <v>314.02</v>
      </c>
    </row>
    <row r="122" spans="1:29" x14ac:dyDescent="0.2">
      <c r="A122" t="s">
        <v>172</v>
      </c>
      <c r="B122">
        <v>313.56</v>
      </c>
      <c r="C122" s="11">
        <f>AVERAGE(B111:B122)</f>
        <v>313.57499999999999</v>
      </c>
      <c r="D122" s="11">
        <f>+(C122/C110-1)*100</f>
        <v>-0.14197571817158305</v>
      </c>
      <c r="G122" s="11"/>
    </row>
    <row r="123" spans="1:29" x14ac:dyDescent="0.2">
      <c r="A123" t="s">
        <v>175</v>
      </c>
      <c r="B123">
        <v>314.05</v>
      </c>
      <c r="G123" s="11"/>
    </row>
    <row r="124" spans="1:29" x14ac:dyDescent="0.2">
      <c r="A124" t="s">
        <v>176</v>
      </c>
      <c r="B124">
        <v>310.75</v>
      </c>
      <c r="G124" s="11"/>
    </row>
    <row r="125" spans="1:29" x14ac:dyDescent="0.2">
      <c r="A125" t="s">
        <v>177</v>
      </c>
      <c r="B125">
        <v>312.93</v>
      </c>
      <c r="G125" s="11"/>
    </row>
    <row r="126" spans="1:29" x14ac:dyDescent="0.2">
      <c r="A126" t="s">
        <v>178</v>
      </c>
      <c r="B126">
        <v>313.19</v>
      </c>
      <c r="G126" s="11"/>
    </row>
    <row r="127" spans="1:29" x14ac:dyDescent="0.2">
      <c r="A127" t="s">
        <v>179</v>
      </c>
      <c r="B127">
        <v>313.16000000000003</v>
      </c>
      <c r="G127" s="11"/>
    </row>
    <row r="128" spans="1:29" x14ac:dyDescent="0.2">
      <c r="A128" t="s">
        <v>180</v>
      </c>
      <c r="B128">
        <v>314.24</v>
      </c>
      <c r="G128" s="11"/>
    </row>
    <row r="129" spans="1:8" x14ac:dyDescent="0.2">
      <c r="A129" t="s">
        <v>181</v>
      </c>
      <c r="B129">
        <v>313.33</v>
      </c>
      <c r="G129" s="11"/>
    </row>
    <row r="130" spans="1:8" x14ac:dyDescent="0.2">
      <c r="A130" t="s">
        <v>182</v>
      </c>
      <c r="B130">
        <v>313.43</v>
      </c>
      <c r="G130" s="11"/>
    </row>
    <row r="131" spans="1:8" x14ac:dyDescent="0.2">
      <c r="A131" t="s">
        <v>183</v>
      </c>
      <c r="B131">
        <v>312.81</v>
      </c>
      <c r="G131" s="11"/>
    </row>
    <row r="132" spans="1:8" x14ac:dyDescent="0.2">
      <c r="A132" t="s">
        <v>184</v>
      </c>
      <c r="B132">
        <v>314.06</v>
      </c>
      <c r="G132" s="11"/>
    </row>
    <row r="133" spans="1:8" x14ac:dyDescent="0.2">
      <c r="A133" t="s">
        <v>185</v>
      </c>
      <c r="B133">
        <v>314.29000000000002</v>
      </c>
      <c r="C133" s="11">
        <f>AVERAGE(B123:B133)</f>
        <v>313.29454545454541</v>
      </c>
      <c r="G133" s="11"/>
    </row>
    <row r="134" spans="1:8" x14ac:dyDescent="0.2">
      <c r="A134" t="s">
        <v>186</v>
      </c>
      <c r="B134">
        <v>313.75</v>
      </c>
      <c r="C134" s="11">
        <f>AVERAGE(B123:B134)</f>
        <v>313.33249999999998</v>
      </c>
      <c r="D134" s="11">
        <f>+(C134/C122-1)*100</f>
        <v>-7.7333971139281754E-2</v>
      </c>
      <c r="G134" s="11"/>
    </row>
    <row r="135" spans="1:8" x14ac:dyDescent="0.2">
      <c r="A135" t="s">
        <v>187</v>
      </c>
      <c r="B135" s="11">
        <v>314.20999999999998</v>
      </c>
      <c r="G135" s="11"/>
    </row>
    <row r="136" spans="1:8" ht="15" x14ac:dyDescent="0.25">
      <c r="A136" s="37">
        <v>42370</v>
      </c>
      <c r="B136" s="38">
        <v>313.13</v>
      </c>
      <c r="G136" s="11"/>
      <c r="H136" s="38"/>
    </row>
    <row r="137" spans="1:8" ht="15" x14ac:dyDescent="0.25">
      <c r="A137" s="37">
        <v>42401</v>
      </c>
      <c r="B137" s="38">
        <v>314.14</v>
      </c>
      <c r="G137" s="11"/>
      <c r="H137" s="38"/>
    </row>
    <row r="138" spans="1:8" ht="15" x14ac:dyDescent="0.25">
      <c r="A138" s="37">
        <v>42430</v>
      </c>
      <c r="B138" s="38">
        <v>315.7</v>
      </c>
      <c r="G138" s="11"/>
      <c r="H138" s="38"/>
    </row>
    <row r="139" spans="1:8" ht="15" x14ac:dyDescent="0.25">
      <c r="A139" s="37">
        <v>42461</v>
      </c>
      <c r="B139" s="38">
        <v>315.64</v>
      </c>
      <c r="G139" s="11"/>
      <c r="H139" s="38"/>
    </row>
    <row r="140" spans="1:8" ht="15" x14ac:dyDescent="0.25">
      <c r="A140" s="37">
        <v>42491</v>
      </c>
      <c r="B140" s="38">
        <v>316.20999999999998</v>
      </c>
      <c r="G140" s="11"/>
      <c r="H140" s="38"/>
    </row>
    <row r="141" spans="1:8" ht="15" x14ac:dyDescent="0.25">
      <c r="A141" s="37">
        <v>42522</v>
      </c>
      <c r="B141" s="38">
        <v>316.54000000000002</v>
      </c>
      <c r="G141" s="11"/>
      <c r="H141" s="38"/>
    </row>
    <row r="142" spans="1:8" ht="15" x14ac:dyDescent="0.25">
      <c r="A142" s="37">
        <v>42552</v>
      </c>
      <c r="B142" s="38">
        <v>316.73</v>
      </c>
      <c r="G142" s="11"/>
      <c r="H142" s="38"/>
    </row>
    <row r="143" spans="1:8" ht="15" x14ac:dyDescent="0.25">
      <c r="A143" s="37">
        <v>42583</v>
      </c>
      <c r="B143" s="38">
        <v>316.38</v>
      </c>
      <c r="G143" s="11"/>
      <c r="H143" s="38"/>
    </row>
    <row r="144" spans="1:8" ht="15" x14ac:dyDescent="0.25">
      <c r="A144" s="37">
        <v>42614</v>
      </c>
      <c r="B144" s="38">
        <v>316.91000000000003</v>
      </c>
      <c r="G144" s="11"/>
      <c r="H144" s="38"/>
    </row>
    <row r="145" spans="1:8" ht="15" x14ac:dyDescent="0.25">
      <c r="A145" s="37">
        <v>42644</v>
      </c>
      <c r="B145" s="38">
        <v>318</v>
      </c>
      <c r="C145" s="11">
        <f>AVERAGE(B135:B145)</f>
        <v>315.78090909090906</v>
      </c>
      <c r="D145" s="11">
        <f>+(C145/C133-1)*100</f>
        <v>0.79361855239332701</v>
      </c>
      <c r="G145" s="11"/>
      <c r="H145" s="38"/>
    </row>
    <row r="146" spans="1:8" ht="15" x14ac:dyDescent="0.25">
      <c r="A146" s="37">
        <v>42675</v>
      </c>
      <c r="B146" s="38">
        <v>318.10000000000002</v>
      </c>
      <c r="C146" s="11">
        <f>AVERAGE(B135:B146)</f>
        <v>315.97416666666663</v>
      </c>
      <c r="D146" s="11">
        <f>+(C146/C134-1)*100</f>
        <v>0.84308734863656198</v>
      </c>
      <c r="E146" s="11"/>
      <c r="F146" s="4"/>
      <c r="G146" s="11"/>
      <c r="H146" s="38"/>
    </row>
    <row r="147" spans="1:8" ht="15" x14ac:dyDescent="0.25">
      <c r="A147" s="37">
        <v>42705</v>
      </c>
      <c r="B147" s="38">
        <v>319.68</v>
      </c>
      <c r="E147" s="11"/>
      <c r="F147" s="4"/>
      <c r="H147" s="38"/>
    </row>
    <row r="148" spans="1:8" ht="15" x14ac:dyDescent="0.25">
      <c r="A148" s="37">
        <v>42736</v>
      </c>
      <c r="B148" s="38">
        <v>317.5</v>
      </c>
      <c r="E148" s="11"/>
      <c r="F148" s="4"/>
      <c r="H148" s="38"/>
    </row>
    <row r="149" spans="1:8" ht="15" x14ac:dyDescent="0.25">
      <c r="A149" s="37">
        <v>42767</v>
      </c>
      <c r="B149" s="38">
        <v>319.73</v>
      </c>
      <c r="E149" s="11"/>
      <c r="F149" s="4"/>
      <c r="H149" s="38"/>
    </row>
    <row r="150" spans="1:8" ht="15" x14ac:dyDescent="0.25">
      <c r="A150" s="37">
        <v>42795</v>
      </c>
      <c r="B150" s="38">
        <v>319.68</v>
      </c>
      <c r="E150" s="11"/>
      <c r="F150" s="4"/>
      <c r="H150" s="38"/>
    </row>
    <row r="151" spans="1:8" ht="15" x14ac:dyDescent="0.25">
      <c r="A151" s="37">
        <v>42826</v>
      </c>
      <c r="B151" s="38">
        <v>321.54000000000002</v>
      </c>
      <c r="E151" s="11"/>
      <c r="F151" s="4"/>
      <c r="H151" s="38"/>
    </row>
    <row r="152" spans="1:8" ht="15" x14ac:dyDescent="0.25">
      <c r="A152" s="37">
        <v>42856</v>
      </c>
      <c r="B152" s="38">
        <v>321.74</v>
      </c>
      <c r="E152" s="11"/>
      <c r="F152" s="4"/>
      <c r="H152" s="38"/>
    </row>
    <row r="153" spans="1:8" ht="15" x14ac:dyDescent="0.25">
      <c r="A153" s="37">
        <v>42887</v>
      </c>
      <c r="B153" s="38">
        <v>321.97000000000003</v>
      </c>
      <c r="E153" s="11"/>
      <c r="F153" s="4"/>
      <c r="H153" s="38"/>
    </row>
    <row r="154" spans="1:8" ht="15" x14ac:dyDescent="0.25">
      <c r="A154" s="37">
        <v>42917</v>
      </c>
      <c r="B154" s="38">
        <v>323.69</v>
      </c>
      <c r="E154" s="11"/>
      <c r="F154" s="4"/>
      <c r="H154" s="38"/>
    </row>
    <row r="155" spans="1:8" ht="15" x14ac:dyDescent="0.25">
      <c r="A155" s="37">
        <v>42948</v>
      </c>
      <c r="B155" s="38">
        <v>323.18</v>
      </c>
      <c r="E155" s="11"/>
      <c r="F155" s="4"/>
      <c r="H155" s="38"/>
    </row>
    <row r="156" spans="1:8" ht="15" x14ac:dyDescent="0.25">
      <c r="A156" s="37">
        <v>42979</v>
      </c>
      <c r="B156" s="38">
        <v>323.62</v>
      </c>
      <c r="E156" s="11"/>
      <c r="F156" s="4"/>
      <c r="H156" s="38"/>
    </row>
    <row r="157" spans="1:8" ht="15" x14ac:dyDescent="0.25">
      <c r="A157" s="37">
        <v>43009</v>
      </c>
      <c r="B157" s="38">
        <v>323.38</v>
      </c>
      <c r="C157" s="11">
        <f>AVERAGE(B146:B157)</f>
        <v>321.15083333333337</v>
      </c>
      <c r="D157" s="11">
        <f>+(C157/C145-1)*100</f>
        <v>1.7005221303224349</v>
      </c>
      <c r="E157" s="11"/>
      <c r="F157" s="4"/>
      <c r="H157" s="38"/>
    </row>
    <row r="158" spans="1:8" ht="15" x14ac:dyDescent="0.25">
      <c r="A158" s="37">
        <v>43040</v>
      </c>
      <c r="B158" s="38">
        <v>324.04000000000002</v>
      </c>
      <c r="C158" s="11">
        <f>AVERAGE(B147:B158)</f>
        <v>321.64583333333331</v>
      </c>
      <c r="D158" s="11">
        <f>+(C158/C146-1)*100</f>
        <v>1.7949779649707676</v>
      </c>
      <c r="E158" s="11">
        <f>AVERAGE($B$158:B158)</f>
        <v>324.04000000000002</v>
      </c>
      <c r="F158" s="4">
        <f>100*(E158/$C$157-1)</f>
        <v>0.89962919811821251</v>
      </c>
    </row>
    <row r="159" spans="1:8" ht="15" x14ac:dyDescent="0.25">
      <c r="A159" s="37">
        <v>43070</v>
      </c>
      <c r="B159" s="38">
        <v>325.23</v>
      </c>
      <c r="E159" s="11">
        <f>AVERAGE($B$158:B159)</f>
        <v>324.63499999999999</v>
      </c>
      <c r="F159" s="4">
        <f>100*(E159/$C$157-1)</f>
        <v>1.084900397269184</v>
      </c>
    </row>
    <row r="160" spans="1:8" ht="15" x14ac:dyDescent="0.25">
      <c r="A160" s="37">
        <v>43101</v>
      </c>
      <c r="B160" s="38">
        <v>322.51</v>
      </c>
      <c r="E160" s="11">
        <f>AVERAGE($B$158:B160)</f>
        <v>323.92666666666668</v>
      </c>
      <c r="F160" s="4">
        <f t="shared" ref="F160:F167" si="0">100*(E160/$C$157-1)</f>
        <v>0.86433944589898726</v>
      </c>
    </row>
    <row r="161" spans="1:8" ht="15" x14ac:dyDescent="0.25">
      <c r="A161" s="37">
        <v>43132</v>
      </c>
      <c r="B161" s="38">
        <v>324.87</v>
      </c>
      <c r="E161" s="11">
        <f>AVERAGE($B$158:B161)</f>
        <v>324.16250000000002</v>
      </c>
      <c r="F161" s="4">
        <f t="shared" si="0"/>
        <v>0.93777326853166088</v>
      </c>
    </row>
    <row r="162" spans="1:8" ht="15" x14ac:dyDescent="0.25">
      <c r="A162" s="37">
        <v>43160</v>
      </c>
      <c r="B162" s="38">
        <v>325.76</v>
      </c>
      <c r="E162" s="11">
        <f>AVERAGE($B$158:B162)</f>
        <v>324.48200000000003</v>
      </c>
      <c r="F162" s="4">
        <f t="shared" si="0"/>
        <v>1.0372592317732243</v>
      </c>
    </row>
    <row r="163" spans="1:8" ht="15" x14ac:dyDescent="0.25">
      <c r="A163" s="37">
        <v>43191</v>
      </c>
      <c r="B163" s="38">
        <v>327.10000000000002</v>
      </c>
      <c r="E163" s="11">
        <f>AVERAGE($B$158:B163)</f>
        <v>324.91833333333335</v>
      </c>
      <c r="F163" s="4">
        <f t="shared" si="0"/>
        <v>1.1731247778172804</v>
      </c>
    </row>
    <row r="164" spans="1:8" ht="15" x14ac:dyDescent="0.25">
      <c r="A164" s="37">
        <v>43221</v>
      </c>
      <c r="B164" s="38">
        <v>327.86</v>
      </c>
      <c r="E164" s="11">
        <f>AVERAGE($B$158:B164)</f>
        <v>325.33857142857147</v>
      </c>
      <c r="F164" s="4">
        <f t="shared" si="0"/>
        <v>1.3039785859411124</v>
      </c>
    </row>
    <row r="165" spans="1:8" ht="15" x14ac:dyDescent="0.25">
      <c r="A165" s="37">
        <v>43252</v>
      </c>
      <c r="B165" s="38">
        <v>328.62</v>
      </c>
      <c r="E165" s="11">
        <f>AVERAGE($B$158:B165)</f>
        <v>325.74875000000003</v>
      </c>
      <c r="F165" s="4">
        <f t="shared" si="0"/>
        <v>1.4317000578648154</v>
      </c>
    </row>
    <row r="166" spans="1:8" ht="15" x14ac:dyDescent="0.25">
      <c r="A166" s="37">
        <v>43282</v>
      </c>
      <c r="B166" s="38">
        <v>330.33</v>
      </c>
      <c r="E166" s="11">
        <f>AVERAGE($B$158:B166)</f>
        <v>326.25777777777779</v>
      </c>
      <c r="F166" s="4">
        <f t="shared" si="0"/>
        <v>1.5902012121337794</v>
      </c>
    </row>
    <row r="167" spans="1:8" ht="15" x14ac:dyDescent="0.25">
      <c r="A167" s="37">
        <v>43313</v>
      </c>
      <c r="B167" s="38">
        <v>329.63</v>
      </c>
      <c r="E167" s="11">
        <f>AVERAGE($B$158:B167)</f>
        <v>326.59500000000003</v>
      </c>
      <c r="F167" s="4">
        <f t="shared" si="0"/>
        <v>1.6952055238841579</v>
      </c>
    </row>
    <row r="168" spans="1:8" ht="15" x14ac:dyDescent="0.25">
      <c r="A168" s="37">
        <v>43344</v>
      </c>
      <c r="B168" s="38">
        <v>331.14</v>
      </c>
      <c r="E168" s="11">
        <f>AVERAGE($B$158:B168)</f>
        <v>327.00818181818181</v>
      </c>
      <c r="F168" s="4">
        <f>100*(E168/$C$157-1)</f>
        <v>1.8238621472823402</v>
      </c>
      <c r="H168" s="11"/>
    </row>
    <row r="169" spans="1:8" ht="15" x14ac:dyDescent="0.25">
      <c r="A169" s="37">
        <v>43374</v>
      </c>
      <c r="B169" s="38">
        <v>330.72</v>
      </c>
      <c r="C169" s="11">
        <f>AVERAGE(B158:B169)</f>
        <v>327.31750000000005</v>
      </c>
      <c r="D169" s="11">
        <f>+(C169/C157-1)*100</f>
        <v>1.9201776942817661</v>
      </c>
      <c r="E169" s="11">
        <f>AVERAGE($B$158:B169)</f>
        <v>327.31750000000005</v>
      </c>
      <c r="F169" s="4">
        <f>100*(E169/$C$157-1)</f>
        <v>1.9201776942817661</v>
      </c>
    </row>
    <row r="170" spans="1:8" ht="15" x14ac:dyDescent="0.25">
      <c r="A170" s="37">
        <v>43405</v>
      </c>
      <c r="B170" s="38">
        <v>330.4</v>
      </c>
      <c r="E170" s="11">
        <f>AVERAGE($B$170:B170)</f>
        <v>330.4</v>
      </c>
      <c r="F170" s="4">
        <f>100*(E170/$C$169-1)</f>
        <v>0.9417461638928426</v>
      </c>
    </row>
    <row r="171" spans="1:8" ht="15" x14ac:dyDescent="0.25">
      <c r="A171" s="37">
        <v>43435</v>
      </c>
      <c r="B171" s="38">
        <v>331.87</v>
      </c>
      <c r="E171" s="11">
        <f>AVERAGE($B$170:B171)</f>
        <v>331.13499999999999</v>
      </c>
      <c r="F171" s="4">
        <f>100*(E171/$C$169-1)</f>
        <v>1.1662987771811517</v>
      </c>
    </row>
    <row r="172" spans="1:8" ht="15" x14ac:dyDescent="0.25">
      <c r="A172" s="37">
        <v>43466</v>
      </c>
      <c r="B172" s="38">
        <v>328.56</v>
      </c>
      <c r="E172" s="11">
        <f>AVERAGE($B$170:B172)</f>
        <v>330.27666666666664</v>
      </c>
      <c r="F172" s="4">
        <f>100*(E172/$C$169-1)</f>
        <v>0.90406613354512277</v>
      </c>
    </row>
    <row r="173" spans="1:8" ht="15" x14ac:dyDescent="0.25">
      <c r="A173" s="37">
        <v>43497</v>
      </c>
      <c r="B173" s="38">
        <v>331.02</v>
      </c>
      <c r="E173" s="11">
        <f>AVERAGE($B$170:B173)</f>
        <v>330.46249999999998</v>
      </c>
      <c r="F173" s="4">
        <f>100*(E173/$C$169-1)</f>
        <v>0.96084077386633382</v>
      </c>
    </row>
    <row r="174" spans="1:8" ht="15" x14ac:dyDescent="0.25">
      <c r="A174" s="37">
        <v>43525</v>
      </c>
      <c r="B174" s="38">
        <v>331.79</v>
      </c>
      <c r="E174" s="11">
        <f>AVERAGE($B$170:B174)</f>
        <v>330.72799999999995</v>
      </c>
      <c r="F174" s="4">
        <f>100*(E174/$C$169-1)</f>
        <v>1.0419546770337407</v>
      </c>
    </row>
    <row r="175" spans="1:8" ht="15" x14ac:dyDescent="0.25">
      <c r="A175" s="37">
        <v>43556</v>
      </c>
      <c r="B175" s="38">
        <v>334.11</v>
      </c>
      <c r="E175" s="11">
        <f>AVERAGE($B$170:B175)</f>
        <v>331.29166666666669</v>
      </c>
      <c r="F175" s="4">
        <f t="shared" ref="F175:F179" si="1">100*(E175/$C$169-1)</f>
        <v>1.2141625995147232</v>
      </c>
    </row>
    <row r="176" spans="1:8" ht="15" x14ac:dyDescent="0.25">
      <c r="A176" s="37">
        <v>43586</v>
      </c>
      <c r="B176" s="38">
        <v>334.95</v>
      </c>
      <c r="E176" s="11">
        <f>AVERAGE($B$170:B176)</f>
        <v>331.81428571428569</v>
      </c>
      <c r="F176" s="4">
        <f t="shared" si="1"/>
        <v>1.3738299095788165</v>
      </c>
    </row>
    <row r="177" spans="1:6" ht="15" x14ac:dyDescent="0.25">
      <c r="A177" s="37">
        <v>43617</v>
      </c>
      <c r="B177" s="38">
        <v>334.47</v>
      </c>
      <c r="E177" s="11">
        <f>AVERAGE($B$170:B177)</f>
        <v>332.14625000000001</v>
      </c>
      <c r="F177" s="4">
        <f t="shared" si="1"/>
        <v>1.4752495665523391</v>
      </c>
    </row>
    <row r="178" spans="1:6" ht="15" x14ac:dyDescent="0.25">
      <c r="A178" s="37">
        <v>43647</v>
      </c>
      <c r="B178" s="38">
        <v>335.8</v>
      </c>
      <c r="E178" s="11">
        <f>AVERAGE($B$170:B178)</f>
        <v>332.55222222222227</v>
      </c>
      <c r="F178" s="4">
        <f t="shared" si="1"/>
        <v>1.5992796664468623</v>
      </c>
    </row>
    <row r="179" spans="1:6" ht="15" x14ac:dyDescent="0.25">
      <c r="A179" s="37">
        <v>43678</v>
      </c>
      <c r="B179" s="38">
        <v>334.39</v>
      </c>
      <c r="E179" s="11">
        <f>AVERAGE($B$170:B179)</f>
        <v>332.73599999999999</v>
      </c>
      <c r="F179" s="4">
        <f t="shared" si="1"/>
        <v>1.6554263062622532</v>
      </c>
    </row>
    <row r="180" spans="1:6" ht="15" x14ac:dyDescent="0.25">
      <c r="A180" s="37">
        <v>43709</v>
      </c>
      <c r="B180" s="38">
        <v>335.95</v>
      </c>
      <c r="E180" s="11">
        <f>AVERAGE($B$170:B180)</f>
        <v>333.02818181818179</v>
      </c>
      <c r="F180" s="4">
        <f>100*(E180/$C$169-1)</f>
        <v>1.7446918720147142</v>
      </c>
    </row>
    <row r="181" spans="1:6" ht="15" x14ac:dyDescent="0.25">
      <c r="A181" s="37">
        <v>43739</v>
      </c>
      <c r="B181" s="38">
        <v>336.04</v>
      </c>
      <c r="C181" s="11">
        <f>AVERAGE(B170:B181)</f>
        <v>333.27916666666664</v>
      </c>
      <c r="D181" s="11">
        <f>+(C181/C169-1)*100</f>
        <v>1.821371196671917</v>
      </c>
      <c r="E181" s="11">
        <f>AVERAGE($B$170:B181)</f>
        <v>333.27916666666664</v>
      </c>
      <c r="F181" s="4">
        <f>100*(E181/$C$169-1)</f>
        <v>1.821371196671917</v>
      </c>
    </row>
    <row r="182" spans="1:6" x14ac:dyDescent="0.2">
      <c r="A182" s="37">
        <v>43770</v>
      </c>
      <c r="B182" s="11">
        <v>336.36</v>
      </c>
      <c r="E182" s="11">
        <f>AVERAGE($B$182:B182)</f>
        <v>336.36</v>
      </c>
      <c r="F182" s="4">
        <f t="shared" ref="F182:F189" si="2">100*(E182/$C$181-1)</f>
        <v>0.9244002150349484</v>
      </c>
    </row>
    <row r="183" spans="1:6" x14ac:dyDescent="0.2">
      <c r="A183" s="37">
        <v>43800</v>
      </c>
      <c r="B183" s="11">
        <v>337.68</v>
      </c>
      <c r="E183" s="11">
        <f>AVERAGE($B$182:B183)</f>
        <v>337.02</v>
      </c>
      <c r="F183" s="4">
        <f t="shared" si="2"/>
        <v>1.122432395264239</v>
      </c>
    </row>
    <row r="184" spans="1:6" x14ac:dyDescent="0.2">
      <c r="A184" s="37">
        <v>43831</v>
      </c>
      <c r="B184" s="11">
        <v>332.82</v>
      </c>
      <c r="E184" s="11">
        <f>AVERAGE($B$182:B184)</f>
        <v>335.61999999999995</v>
      </c>
      <c r="F184" s="4">
        <f t="shared" si="2"/>
        <v>0.70236413417179566</v>
      </c>
    </row>
    <row r="185" spans="1:6" x14ac:dyDescent="0.2">
      <c r="A185" s="37">
        <v>43862</v>
      </c>
      <c r="B185" s="11">
        <v>334.47</v>
      </c>
      <c r="E185" s="11">
        <f>AVERAGE($B$182:B185)</f>
        <v>335.33249999999998</v>
      </c>
      <c r="F185" s="4">
        <f t="shared" si="2"/>
        <v>0.61610011626889172</v>
      </c>
    </row>
    <row r="186" spans="1:6" x14ac:dyDescent="0.2">
      <c r="A186" s="37">
        <v>43891</v>
      </c>
      <c r="B186" s="11">
        <v>333.91</v>
      </c>
      <c r="E186" s="11">
        <f>AVERAGE($B$182:B186)</f>
        <v>335.048</v>
      </c>
      <c r="F186" s="4">
        <f t="shared" si="2"/>
        <v>0.53073624463977342</v>
      </c>
    </row>
    <row r="187" spans="1:6" x14ac:dyDescent="0.2">
      <c r="A187" s="37">
        <v>43922</v>
      </c>
      <c r="B187" s="11">
        <v>332.9</v>
      </c>
      <c r="E187" s="11">
        <f>AVERAGE($B$182:B187)</f>
        <v>334.69</v>
      </c>
      <c r="F187" s="4">
        <f t="shared" si="2"/>
        <v>0.42331878930326194</v>
      </c>
    </row>
    <row r="188" spans="1:6" x14ac:dyDescent="0.2">
      <c r="A188" s="37">
        <v>43952</v>
      </c>
      <c r="B188" s="11">
        <v>334.91</v>
      </c>
      <c r="E188" s="11">
        <f>AVERAGE($B$182:B188)</f>
        <v>334.72142857142853</v>
      </c>
      <c r="F188" s="4">
        <f t="shared" si="2"/>
        <v>0.43274889312370224</v>
      </c>
    </row>
    <row r="189" spans="1:6" x14ac:dyDescent="0.2">
      <c r="A189" s="37">
        <v>43983</v>
      </c>
      <c r="B189" s="11">
        <v>336.84</v>
      </c>
      <c r="E189" s="11">
        <f>AVERAGE($B$182:B189)</f>
        <v>334.98624999999998</v>
      </c>
      <c r="F189" s="4">
        <f t="shared" si="2"/>
        <v>0.5122082338379963</v>
      </c>
    </row>
    <row r="190" spans="1:6" x14ac:dyDescent="0.2">
      <c r="A190" s="37">
        <v>44013</v>
      </c>
      <c r="B190" s="11">
        <v>337.57</v>
      </c>
      <c r="E190" s="11">
        <f>AVERAGE($B$182:B190)</f>
        <v>335.27333333333331</v>
      </c>
      <c r="F190" s="4">
        <f t="shared" ref="F190" si="3">100*(E190/$C$181-1)</f>
        <v>0.59834723142511148</v>
      </c>
    </row>
    <row r="191" spans="1:6" x14ac:dyDescent="0.2">
      <c r="A191" s="37">
        <v>44044</v>
      </c>
      <c r="B191" s="11">
        <v>337.07</v>
      </c>
      <c r="E191" s="11">
        <f>AVERAGE($B$182:B191)</f>
        <v>335.45300000000003</v>
      </c>
      <c r="F191" s="4">
        <f>100*(E191/$C$181-1)</f>
        <v>0.65225599159866032</v>
      </c>
    </row>
    <row r="192" spans="1:6" x14ac:dyDescent="0.2">
      <c r="A192" s="37">
        <v>44075</v>
      </c>
      <c r="B192" s="11">
        <v>337.27</v>
      </c>
      <c r="E192" s="11">
        <f>AVERAGE($B$182:B192)</f>
        <v>335.61818181818182</v>
      </c>
      <c r="F192" s="4">
        <f>100*(E192/$C$181-1)</f>
        <v>0.70181859097557808</v>
      </c>
    </row>
    <row r="193" spans="1:6" x14ac:dyDescent="0.2">
      <c r="A193" s="37">
        <v>44105</v>
      </c>
      <c r="B193" s="11">
        <v>336.97</v>
      </c>
      <c r="C193" s="11">
        <f>AVERAGE(B182:B193)</f>
        <v>335.73083333333335</v>
      </c>
      <c r="D193" s="11">
        <f>+(C193/C181-1)*100</f>
        <v>0.73561953817495862</v>
      </c>
      <c r="E193" s="11">
        <f>AVERAGE($B$182:B193)</f>
        <v>335.73083333333335</v>
      </c>
      <c r="F193" s="4">
        <f>100*(E193/$C$181-1)</f>
        <v>0.73561953817495862</v>
      </c>
    </row>
    <row r="194" spans="1:6" x14ac:dyDescent="0.2">
      <c r="A194" s="37">
        <v>44136</v>
      </c>
      <c r="B194" s="11">
        <v>337</v>
      </c>
      <c r="E194" s="11">
        <f>AVERAGE($B$194:B194)</f>
        <v>337</v>
      </c>
      <c r="F194" s="4">
        <f>100*(E194/$C$193-1)</f>
        <v>0.37803101194657796</v>
      </c>
    </row>
    <row r="195" spans="1:6" x14ac:dyDescent="0.2">
      <c r="A195" s="37">
        <v>44166</v>
      </c>
      <c r="B195" s="11">
        <v>339.34</v>
      </c>
      <c r="E195" s="11">
        <f>AVERAGE($B$194:B195)</f>
        <v>338.16999999999996</v>
      </c>
      <c r="F195" s="4">
        <f>100*(E195/$C$193-1)</f>
        <v>0.72652447272987253</v>
      </c>
    </row>
    <row r="196" spans="1:6" x14ac:dyDescent="0.2">
      <c r="A196" s="37">
        <v>44197</v>
      </c>
      <c r="B196" s="11">
        <v>338.09</v>
      </c>
      <c r="E196" s="11">
        <f>AVERAGE($B$194:B196)</f>
        <v>338.14333333333326</v>
      </c>
      <c r="F196" s="4">
        <f>100*(E196/$C$193-1)</f>
        <v>0.71858160182882713</v>
      </c>
    </row>
    <row r="197" spans="1:6" x14ac:dyDescent="0.2">
      <c r="A197" s="37">
        <v>44228</v>
      </c>
      <c r="B197" s="11">
        <v>339.01</v>
      </c>
      <c r="E197" s="11">
        <f>AVERAGE($B$194:B197)</f>
        <v>338.35999999999996</v>
      </c>
      <c r="F197" s="4">
        <f t="shared" ref="F197:F204" si="4">100*(E197/$C$193-1)</f>
        <v>0.78311742789980432</v>
      </c>
    </row>
    <row r="198" spans="1:6" x14ac:dyDescent="0.2">
      <c r="A198" s="37">
        <v>44256</v>
      </c>
      <c r="B198" s="11">
        <v>339.54</v>
      </c>
      <c r="E198" s="11">
        <f>AVERAGE($B$194:B198)</f>
        <v>338.59599999999995</v>
      </c>
      <c r="F198" s="4">
        <f t="shared" si="4"/>
        <v>0.85341183537404053</v>
      </c>
    </row>
    <row r="199" spans="1:6" x14ac:dyDescent="0.2">
      <c r="A199" s="37">
        <v>44287</v>
      </c>
      <c r="B199" s="11">
        <v>340.37</v>
      </c>
      <c r="E199" s="11">
        <f>AVERAGE($B$194:B199)</f>
        <v>338.89166666666665</v>
      </c>
      <c r="F199" s="4">
        <f t="shared" si="4"/>
        <v>0.94147841648939412</v>
      </c>
    </row>
    <row r="200" spans="1:6" x14ac:dyDescent="0.2">
      <c r="A200" s="37">
        <v>44317</v>
      </c>
      <c r="B200" s="11">
        <v>341.04</v>
      </c>
      <c r="E200" s="11">
        <f>AVERAGE($B$194:B200)</f>
        <v>339.19857142857143</v>
      </c>
      <c r="F200" s="4">
        <f t="shared" si="4"/>
        <v>1.0328923503415854</v>
      </c>
    </row>
    <row r="201" spans="1:6" x14ac:dyDescent="0.2">
      <c r="A201" s="37">
        <v>44348</v>
      </c>
      <c r="B201" s="11">
        <v>341.32</v>
      </c>
      <c r="E201" s="11">
        <f>AVERAGE($B$194:B201)</f>
        <v>339.46375</v>
      </c>
      <c r="F201" s="4">
        <f t="shared" si="4"/>
        <v>1.1118778187883649</v>
      </c>
    </row>
    <row r="202" spans="1:6" x14ac:dyDescent="0.2">
      <c r="A202" s="37">
        <v>44378</v>
      </c>
      <c r="B202" s="11">
        <v>342.23</v>
      </c>
      <c r="E202" s="11">
        <f>AVERAGE($B$194:B202)</f>
        <v>339.77111111111111</v>
      </c>
      <c r="F202" s="4">
        <f t="shared" si="4"/>
        <v>1.2034276797467491</v>
      </c>
    </row>
    <row r="203" spans="1:6" x14ac:dyDescent="0.2">
      <c r="A203" s="37">
        <v>44409</v>
      </c>
      <c r="B203" s="11">
        <v>343.99</v>
      </c>
      <c r="E203" s="11">
        <f>AVERAGE($B$194:B203)</f>
        <v>340.19300000000004</v>
      </c>
      <c r="F203" s="4">
        <f t="shared" si="4"/>
        <v>1.3290905164603739</v>
      </c>
    </row>
    <row r="204" spans="1:6" x14ac:dyDescent="0.2">
      <c r="A204" s="37">
        <v>44440</v>
      </c>
      <c r="B204" s="11">
        <v>345.74</v>
      </c>
      <c r="E204" s="11">
        <f>AVERAGE($B$194:B204)</f>
        <v>340.69727272727272</v>
      </c>
      <c r="F204" s="4">
        <f t="shared" si="4"/>
        <v>1.4792920103970264</v>
      </c>
    </row>
    <row r="205" spans="1:6" x14ac:dyDescent="0.2">
      <c r="A205" s="37">
        <v>44470</v>
      </c>
      <c r="B205" s="11">
        <v>346.44</v>
      </c>
      <c r="C205" s="11">
        <f>AVERAGE(B194:B205)</f>
        <v>341.17583333333334</v>
      </c>
      <c r="D205" s="11">
        <f>+(C205/C193-1)*100</f>
        <v>1.6218349521069708</v>
      </c>
      <c r="E205" s="11">
        <f>AVERAGE($B$194:B205)</f>
        <v>341.17583333333334</v>
      </c>
      <c r="F205" s="4">
        <f>100*(E205/$C$193-1)</f>
        <v>1.6218349521069708</v>
      </c>
    </row>
    <row r="206" spans="1:6" x14ac:dyDescent="0.2">
      <c r="A206" s="37">
        <v>44501</v>
      </c>
      <c r="B206" s="11">
        <v>348.03</v>
      </c>
      <c r="E206" s="11">
        <f>AVERAGE($B$206:B206)</f>
        <v>348.03</v>
      </c>
      <c r="F206" s="4">
        <f t="shared" ref="F206:F217" si="5">100*(E206/$C$205-1)</f>
        <v>2.0089836374694192</v>
      </c>
    </row>
    <row r="207" spans="1:6" x14ac:dyDescent="0.2">
      <c r="A207" s="37">
        <v>44531</v>
      </c>
      <c r="B207" s="11">
        <v>352.47</v>
      </c>
      <c r="E207" s="11">
        <f>AVERAGE($B$206:B207)</f>
        <v>350.25</v>
      </c>
      <c r="F207" s="4">
        <f t="shared" si="5"/>
        <v>2.6596745080127215</v>
      </c>
    </row>
    <row r="208" spans="1:6" x14ac:dyDescent="0.2">
      <c r="A208" s="37">
        <v>44562</v>
      </c>
      <c r="B208" s="11">
        <v>350.56</v>
      </c>
      <c r="E208" s="11">
        <f>AVERAGE($B$206:B208)</f>
        <v>350.3533333333333</v>
      </c>
      <c r="F208" s="4">
        <f t="shared" si="5"/>
        <v>2.6899619209058701</v>
      </c>
    </row>
    <row r="209" spans="1:6" x14ac:dyDescent="0.2">
      <c r="A209" s="37">
        <v>44593</v>
      </c>
      <c r="B209" s="11">
        <v>353.56</v>
      </c>
      <c r="E209" s="11">
        <f>AVERAGE($B$206:B209)</f>
        <v>351.15499999999997</v>
      </c>
      <c r="F209" s="4">
        <f t="shared" si="5"/>
        <v>2.9249336241576218</v>
      </c>
    </row>
    <row r="210" spans="1:6" x14ac:dyDescent="0.2">
      <c r="A210" s="37">
        <v>44621</v>
      </c>
      <c r="B210" s="11">
        <v>359.8</v>
      </c>
      <c r="E210" s="11">
        <f>AVERAGE($B$206:B210)</f>
        <v>352.88399999999996</v>
      </c>
      <c r="F210" s="4">
        <f t="shared" si="5"/>
        <v>3.4317104327924675</v>
      </c>
    </row>
    <row r="211" spans="1:6" x14ac:dyDescent="0.2">
      <c r="A211" s="37">
        <v>44652</v>
      </c>
      <c r="B211">
        <v>362.02</v>
      </c>
      <c r="C211" s="11"/>
      <c r="D211" s="11"/>
      <c r="E211" s="11">
        <f>AVERAGE($B$206:B211)</f>
        <v>354.40666666666658</v>
      </c>
      <c r="F211" s="4">
        <f t="shared" si="5"/>
        <v>3.8780101169728853</v>
      </c>
    </row>
    <row r="212" spans="1:6" x14ac:dyDescent="0.2">
      <c r="A212" s="37">
        <v>44682</v>
      </c>
      <c r="B212">
        <v>365.82</v>
      </c>
      <c r="C212" s="23"/>
      <c r="E212" s="11">
        <f>AVERAGE($B$206:B212)</f>
        <v>356.03714285714284</v>
      </c>
      <c r="F212" s="4">
        <f t="shared" si="5"/>
        <v>4.3559092033607749</v>
      </c>
    </row>
    <row r="213" spans="1:6" x14ac:dyDescent="0.2">
      <c r="A213" s="37">
        <v>44713</v>
      </c>
      <c r="B213">
        <v>370.95</v>
      </c>
      <c r="C213" s="23"/>
      <c r="E213" s="11">
        <f>AVERAGE($B$206:B213)</f>
        <v>357.90124999999995</v>
      </c>
      <c r="F213" s="4">
        <f t="shared" si="5"/>
        <v>4.9022864554200796</v>
      </c>
    </row>
    <row r="214" spans="1:6" x14ac:dyDescent="0.2">
      <c r="A214" s="37">
        <v>44743</v>
      </c>
      <c r="B214">
        <v>371.28</v>
      </c>
      <c r="C214" s="23"/>
      <c r="E214" s="11">
        <f>AVERAGE($B$206:B214)</f>
        <v>359.38777777777773</v>
      </c>
      <c r="F214" s="4">
        <f t="shared" si="5"/>
        <v>5.3379936868655831</v>
      </c>
    </row>
    <row r="215" spans="1:6" x14ac:dyDescent="0.2">
      <c r="A215" s="37">
        <v>44774</v>
      </c>
      <c r="B215">
        <v>377.81</v>
      </c>
      <c r="C215" s="23"/>
      <c r="E215" s="11">
        <f>AVERAGE($B$206:B215)</f>
        <v>361.22999999999996</v>
      </c>
      <c r="F215" s="4">
        <f t="shared" si="5"/>
        <v>5.8779563812403568</v>
      </c>
    </row>
    <row r="216" spans="1:6" x14ac:dyDescent="0.2">
      <c r="A216" s="37">
        <v>44805</v>
      </c>
      <c r="B216">
        <v>383.21</v>
      </c>
      <c r="C216" s="23"/>
      <c r="E216" s="11">
        <f>AVERAGE($B$206:B216)</f>
        <v>363.22818181818178</v>
      </c>
      <c r="F216" s="4">
        <f t="shared" si="5"/>
        <v>6.4636314563649044</v>
      </c>
    </row>
    <row r="217" spans="1:6" x14ac:dyDescent="0.2">
      <c r="A217" s="37">
        <v>44835</v>
      </c>
      <c r="B217">
        <v>384.04</v>
      </c>
      <c r="C217" s="11">
        <f>AVERAGE(B206:B217)</f>
        <v>364.96250000000003</v>
      </c>
      <c r="D217" s="11">
        <f>+(C217/C205-1)*100</f>
        <v>6.9719670453407545</v>
      </c>
      <c r="E217" s="11">
        <f>AVERAGE($B$206:B217)</f>
        <v>364.96250000000003</v>
      </c>
      <c r="F217" s="4">
        <f t="shared" si="5"/>
        <v>6.9719670453407545</v>
      </c>
    </row>
    <row r="218" spans="1:6" x14ac:dyDescent="0.2">
      <c r="A218" s="37">
        <v>44866</v>
      </c>
      <c r="B218">
        <v>387.93</v>
      </c>
      <c r="C218" s="11"/>
      <c r="E218" s="11">
        <f>AVERAGE($B$207:B218)</f>
        <v>368.28749999999997</v>
      </c>
      <c r="F218" s="4">
        <f t="shared" ref="F218:F229" si="6">100*(E218/$C$217-1)</f>
        <v>0.91105250539436078</v>
      </c>
    </row>
    <row r="219" spans="1:6" x14ac:dyDescent="0.2">
      <c r="A219" s="37">
        <v>44896</v>
      </c>
      <c r="B219">
        <v>395.96</v>
      </c>
      <c r="C219" s="11"/>
      <c r="E219" s="11">
        <f>AVERAGE($B$208:B219)</f>
        <v>371.91166666666663</v>
      </c>
      <c r="F219" s="4">
        <f t="shared" si="6"/>
        <v>1.9040769028781268</v>
      </c>
    </row>
    <row r="220" spans="1:6" x14ac:dyDescent="0.2">
      <c r="A220" s="37">
        <v>44927</v>
      </c>
      <c r="B220">
        <v>391.5</v>
      </c>
      <c r="C220" s="11"/>
      <c r="E220" s="11">
        <f>AVERAGE($B$209:B220)</f>
        <v>375.32333333333332</v>
      </c>
      <c r="F220" s="4">
        <f t="shared" si="6"/>
        <v>2.8388761402426965</v>
      </c>
    </row>
    <row r="221" spans="1:6" x14ac:dyDescent="0.2">
      <c r="A221" s="37">
        <v>44958</v>
      </c>
      <c r="B221">
        <v>395.82</v>
      </c>
      <c r="C221" s="11"/>
      <c r="E221" s="11">
        <f>AVERAGE($B$210:B221)</f>
        <v>378.84499999999997</v>
      </c>
      <c r="F221" s="4">
        <f t="shared" si="6"/>
        <v>3.8038154604924879</v>
      </c>
    </row>
    <row r="222" spans="1:6" x14ac:dyDescent="0.2">
      <c r="A222" s="37">
        <v>44986</v>
      </c>
      <c r="B222">
        <v>398.08</v>
      </c>
      <c r="C222" s="11"/>
      <c r="E222" s="11">
        <f>AVERAGE($B$211:B222)</f>
        <v>382.03499999999991</v>
      </c>
      <c r="F222" s="4">
        <f t="shared" si="6"/>
        <v>4.6778778641640928</v>
      </c>
    </row>
    <row r="223" spans="1:6" x14ac:dyDescent="0.2">
      <c r="A223" s="37">
        <v>45017</v>
      </c>
      <c r="B223">
        <v>399.93</v>
      </c>
      <c r="C223" s="11"/>
      <c r="E223" s="11">
        <f>AVERAGE($B$212:B223)</f>
        <v>385.19416666666672</v>
      </c>
      <c r="F223" s="4">
        <f t="shared" si="6"/>
        <v>5.5434919112694159</v>
      </c>
    </row>
    <row r="224" spans="1:6" x14ac:dyDescent="0.2">
      <c r="A224" s="37">
        <v>45047</v>
      </c>
      <c r="B224">
        <v>401.19</v>
      </c>
      <c r="C224" s="11"/>
      <c r="E224" s="11">
        <f>AVERAGE($B$213:B224)</f>
        <v>388.14166666666665</v>
      </c>
      <c r="F224" s="4">
        <f t="shared" si="6"/>
        <v>6.3511091322167701</v>
      </c>
    </row>
    <row r="225" spans="1:6" x14ac:dyDescent="0.2">
      <c r="A225" s="37">
        <v>45078</v>
      </c>
      <c r="B225">
        <v>405.49</v>
      </c>
      <c r="C225" s="11"/>
      <c r="E225" s="11">
        <f>AVERAGE($B$214:B225)</f>
        <v>391.02</v>
      </c>
      <c r="F225" s="4">
        <f t="shared" si="6"/>
        <v>7.1397746343802249</v>
      </c>
    </row>
    <row r="226" spans="1:6" x14ac:dyDescent="0.2">
      <c r="A226" s="37">
        <v>45108</v>
      </c>
      <c r="B226">
        <v>405.67</v>
      </c>
      <c r="C226" s="11"/>
      <c r="D226" s="11"/>
      <c r="E226" s="11">
        <f>AVERAGE($B$215:B226)</f>
        <v>393.88583333333332</v>
      </c>
      <c r="F226" s="4">
        <f t="shared" si="6"/>
        <v>7.9250151271249125</v>
      </c>
    </row>
    <row r="227" spans="1:6" x14ac:dyDescent="0.2">
      <c r="A227" s="37">
        <v>45139</v>
      </c>
      <c r="B227">
        <v>405.97</v>
      </c>
      <c r="C227" s="11"/>
      <c r="D227" s="11"/>
      <c r="E227" s="11">
        <f>AVERAGE($B$216:B227)</f>
        <v>396.23250000000002</v>
      </c>
      <c r="F227" s="4">
        <f t="shared" si="6"/>
        <v>8.5680035620097961</v>
      </c>
    </row>
    <row r="228" spans="1:6" x14ac:dyDescent="0.2">
      <c r="A228" s="37">
        <v>45170</v>
      </c>
      <c r="B228">
        <v>408.05</v>
      </c>
      <c r="E228" s="11">
        <f>AVERAGE($B$217:B228)</f>
        <v>398.30250000000001</v>
      </c>
      <c r="F228" s="4">
        <f t="shared" si="6"/>
        <v>9.1351851217590827</v>
      </c>
    </row>
    <row r="229" spans="1:6" x14ac:dyDescent="0.2">
      <c r="A229" s="37">
        <v>45200</v>
      </c>
      <c r="B229">
        <v>409.07</v>
      </c>
      <c r="C229" s="11">
        <f>AVERAGE(B218:B229)</f>
        <v>400.38833333333332</v>
      </c>
      <c r="D229" s="11">
        <f>+(C229/C217-1)*100</f>
        <v>9.7067050267721342</v>
      </c>
      <c r="E229" s="11">
        <f>AVERAGE($B$218:B229)</f>
        <v>400.38833333333332</v>
      </c>
      <c r="F229" s="4">
        <f t="shared" si="6"/>
        <v>9.7067050267721342</v>
      </c>
    </row>
    <row r="230" spans="1:6" x14ac:dyDescent="0.2">
      <c r="A230" s="37"/>
    </row>
  </sheetData>
  <phoneticPr fontId="4" type="noConversion"/>
  <pageMargins left="0.19685039370078741" right="0.19685039370078741" top="0.59055118110236227" bottom="0.59055118110236227" header="0.31496062992125984" footer="0.31496062992125984"/>
  <pageSetup paperSize="9" orientation="portrait" r:id="rId1"/>
  <headerFooter>
    <oddHeader>&amp;C2023-04-18&amp;R&amp;A</oddHeader>
    <oddFooter>&amp;L&amp;F&amp;C&amp;P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0"/>
  <sheetViews>
    <sheetView view="pageLayout" topLeftCell="A10" zoomScaleNormal="100" workbookViewId="0">
      <selection activeCell="AB30" sqref="AB30"/>
    </sheetView>
  </sheetViews>
  <sheetFormatPr defaultRowHeight="12.75" x14ac:dyDescent="0.2"/>
  <cols>
    <col min="2" max="10" width="6.7109375" customWidth="1"/>
    <col min="11" max="15" width="5.42578125" customWidth="1"/>
    <col min="16" max="16" width="5.85546875" customWidth="1"/>
    <col min="17" max="18" width="6.7109375" customWidth="1"/>
    <col min="19" max="19" width="8.7109375" customWidth="1"/>
    <col min="20" max="23" width="6.7109375" customWidth="1"/>
    <col min="24" max="24" width="10.28515625" customWidth="1"/>
    <col min="25" max="25" width="9.85546875" customWidth="1"/>
    <col min="26" max="26" width="9.5703125" bestFit="1" customWidth="1"/>
  </cols>
  <sheetData>
    <row r="1" spans="1:18" ht="15.75" x14ac:dyDescent="0.25">
      <c r="A1" s="8" t="s">
        <v>193</v>
      </c>
    </row>
    <row r="2" spans="1:18" x14ac:dyDescent="0.2">
      <c r="R2" s="11"/>
    </row>
    <row r="3" spans="1:18" x14ac:dyDescent="0.2">
      <c r="R3" s="11"/>
    </row>
    <row r="4" spans="1:18" x14ac:dyDescent="0.2">
      <c r="R4" s="11"/>
    </row>
    <row r="5" spans="1:18" x14ac:dyDescent="0.2">
      <c r="R5" s="11"/>
    </row>
    <row r="6" spans="1:18" x14ac:dyDescent="0.2">
      <c r="R6" s="11"/>
    </row>
    <row r="7" spans="1:18" x14ac:dyDescent="0.2">
      <c r="R7" s="11"/>
    </row>
    <row r="8" spans="1:18" x14ac:dyDescent="0.2">
      <c r="R8" s="11"/>
    </row>
    <row r="9" spans="1:18" x14ac:dyDescent="0.2">
      <c r="R9" s="11"/>
    </row>
    <row r="10" spans="1:18" x14ac:dyDescent="0.2">
      <c r="R10" s="11"/>
    </row>
    <row r="11" spans="1:18" x14ac:dyDescent="0.2">
      <c r="R11" s="11"/>
    </row>
    <row r="12" spans="1:18" x14ac:dyDescent="0.2">
      <c r="R12" s="11"/>
    </row>
    <row r="13" spans="1:18" x14ac:dyDescent="0.2">
      <c r="R13" s="11"/>
    </row>
    <row r="16" spans="1:18" ht="15.75" x14ac:dyDescent="0.25">
      <c r="A16" s="27" t="s">
        <v>147</v>
      </c>
    </row>
    <row r="17" spans="1:30" x14ac:dyDescent="0.2">
      <c r="AB17">
        <v>0.8</v>
      </c>
      <c r="AC17">
        <v>0.2</v>
      </c>
    </row>
    <row r="18" spans="1:30" ht="28.5" customHeight="1" x14ac:dyDescent="0.2">
      <c r="A18" s="1"/>
      <c r="B18" s="2">
        <v>2011</v>
      </c>
      <c r="C18" s="2">
        <v>2012</v>
      </c>
      <c r="D18" s="2">
        <v>2013</v>
      </c>
      <c r="E18" s="2">
        <v>2014</v>
      </c>
      <c r="F18" s="2">
        <v>2015</v>
      </c>
      <c r="G18" s="2">
        <v>2016</v>
      </c>
      <c r="H18" s="2">
        <v>2016</v>
      </c>
      <c r="I18" s="2">
        <v>2017</v>
      </c>
      <c r="J18" s="2">
        <v>2018</v>
      </c>
      <c r="K18" s="2">
        <v>2019</v>
      </c>
      <c r="L18" s="2">
        <v>2020</v>
      </c>
      <c r="M18" s="2">
        <v>2021</v>
      </c>
      <c r="N18" s="2">
        <v>2022</v>
      </c>
      <c r="O18" s="2">
        <v>2023</v>
      </c>
      <c r="P18" s="2">
        <v>2024</v>
      </c>
      <c r="X18" s="40" t="s">
        <v>202</v>
      </c>
      <c r="Y18" s="40" t="s">
        <v>205</v>
      </c>
      <c r="Z18" s="39" t="s">
        <v>189</v>
      </c>
      <c r="AA18" s="40" t="s">
        <v>201</v>
      </c>
      <c r="AB18" s="40" t="s">
        <v>200</v>
      </c>
      <c r="AC18" s="39" t="s">
        <v>190</v>
      </c>
      <c r="AD18" s="39"/>
    </row>
    <row r="19" spans="1:30" x14ac:dyDescent="0.2">
      <c r="A19" s="3" t="s">
        <v>1</v>
      </c>
      <c r="B19" s="4">
        <v>0.7968627331482292</v>
      </c>
      <c r="C19" s="4">
        <v>1.0750599561932139</v>
      </c>
      <c r="D19" s="4">
        <v>0.93768077156537455</v>
      </c>
      <c r="E19" s="4">
        <v>0.58160756678573566</v>
      </c>
      <c r="F19" s="4">
        <v>0.57937400355223545</v>
      </c>
      <c r="G19" s="4">
        <v>0.67193975014094853</v>
      </c>
      <c r="H19" s="4">
        <v>0.67193975014094853</v>
      </c>
      <c r="I19" s="4">
        <v>0.98039215686276382</v>
      </c>
      <c r="J19" s="4">
        <v>0.93267972132446952</v>
      </c>
      <c r="K19" s="4">
        <v>0.97134676853666624</v>
      </c>
      <c r="L19" s="42">
        <v>0.94046451841930179</v>
      </c>
      <c r="M19" s="42">
        <v>0.23446717055171321</v>
      </c>
      <c r="N19" s="42">
        <v>0.62290761782551574</v>
      </c>
      <c r="O19" s="42">
        <v>0.8376594774321704</v>
      </c>
      <c r="P19" s="4">
        <f>AD19</f>
        <v>1.105479965061424</v>
      </c>
      <c r="Q19" s="3" t="s">
        <v>1</v>
      </c>
      <c r="W19" s="4">
        <f>AVERAGE(Löneavtal!U4:'Löneavtal'!$U$4)</f>
        <v>166.53655896048994</v>
      </c>
      <c r="X19" s="4">
        <f>100*(W19/Löneavtal!$T$16-1)</f>
        <v>0.9944215377152732</v>
      </c>
      <c r="Y19">
        <v>0.1</v>
      </c>
      <c r="Z19" s="11">
        <v>0</v>
      </c>
      <c r="AA19" s="11">
        <f>+X19*0.06</f>
        <v>5.9665292262916392E-2</v>
      </c>
      <c r="AB19" s="4">
        <f>SUM(X19:AA19)</f>
        <v>1.1540868299781897</v>
      </c>
      <c r="AC19" s="4">
        <f>KPI!F218</f>
        <v>0.91105250539436078</v>
      </c>
      <c r="AD19" s="41">
        <f>+$AB$17*AB19+$AC$17*AC19</f>
        <v>1.105479965061424</v>
      </c>
    </row>
    <row r="20" spans="1:30" x14ac:dyDescent="0.2">
      <c r="A20" s="3" t="s">
        <v>2</v>
      </c>
      <c r="B20" s="4">
        <v>0.7968627331482292</v>
      </c>
      <c r="C20" s="4">
        <v>1.0750599561932139</v>
      </c>
      <c r="D20" s="4">
        <v>0.93768077156537455</v>
      </c>
      <c r="E20" s="4">
        <v>0.58160756678573566</v>
      </c>
      <c r="F20" s="4">
        <v>0.57937400355223545</v>
      </c>
      <c r="G20" s="4">
        <v>0.67193975014094853</v>
      </c>
      <c r="H20" s="4">
        <v>0.67193975014094853</v>
      </c>
      <c r="I20" s="4">
        <v>0.98039215686276382</v>
      </c>
      <c r="J20" s="4">
        <v>0.982714411659251</v>
      </c>
      <c r="K20" s="4">
        <v>1.0084010083668606</v>
      </c>
      <c r="L20" s="4">
        <v>0.98537504107696361</v>
      </c>
      <c r="M20" s="4">
        <v>0.25994027326423796</v>
      </c>
      <c r="N20" s="4">
        <v>0.68057619432966421</v>
      </c>
      <c r="O20" s="4">
        <v>0.96779765154083086</v>
      </c>
      <c r="P20" s="4">
        <f t="shared" ref="P20:P30" si="0">AD20</f>
        <v>1.3040848445581772</v>
      </c>
      <c r="Q20" s="3" t="s">
        <v>2</v>
      </c>
      <c r="W20" s="4">
        <f>AVERAGE(Löneavtal!U5:'Löneavtal'!$U$4)</f>
        <v>166.53655896048994</v>
      </c>
      <c r="X20" s="4">
        <f>100*(W20/Löneavtal!$T$16-1)</f>
        <v>0.9944215377152732</v>
      </c>
      <c r="Y20">
        <v>0.1</v>
      </c>
      <c r="Z20" s="11">
        <v>0</v>
      </c>
      <c r="AA20" s="11">
        <f>+X20*0.06</f>
        <v>5.9665292262916392E-2</v>
      </c>
      <c r="AB20" s="4">
        <f t="shared" ref="AB20:AB28" si="1">SUM(X20:AA20)</f>
        <v>1.1540868299781897</v>
      </c>
      <c r="AC20" s="4">
        <f>KPI!F219</f>
        <v>1.9040769028781268</v>
      </c>
      <c r="AD20" s="41">
        <f>+$AB$17*AB20+$AC$17*AC20</f>
        <v>1.3040848445581772</v>
      </c>
    </row>
    <row r="21" spans="1:30" x14ac:dyDescent="0.2">
      <c r="A21" s="3" t="s">
        <v>3</v>
      </c>
      <c r="B21" s="4">
        <v>0.7968627331482292</v>
      </c>
      <c r="C21" s="4">
        <v>1.0750599561932139</v>
      </c>
      <c r="D21" s="4">
        <v>0.93768077156537455</v>
      </c>
      <c r="E21" s="4">
        <v>0.58160756678573566</v>
      </c>
      <c r="F21" s="4">
        <v>0.57937400355223545</v>
      </c>
      <c r="G21" s="4">
        <v>0.67193975014094853</v>
      </c>
      <c r="H21" s="4">
        <v>0.67193975014094853</v>
      </c>
      <c r="I21" s="4">
        <v>0.98039215686276382</v>
      </c>
      <c r="J21" s="4">
        <v>0.95336917133632215</v>
      </c>
      <c r="K21" s="4">
        <v>0.96428881809282119</v>
      </c>
      <c r="L21" s="4">
        <v>0.93292851234975782</v>
      </c>
      <c r="M21" s="4">
        <v>0.16179328771241597</v>
      </c>
      <c r="N21" s="4">
        <v>0.66695750449694469</v>
      </c>
      <c r="O21" s="4">
        <v>0.97385513411946056</v>
      </c>
      <c r="P21" s="4">
        <f t="shared" si="0"/>
        <v>1.4910446920310911</v>
      </c>
      <c r="Q21" s="3" t="s">
        <v>3</v>
      </c>
      <c r="W21" s="4">
        <f>AVERAGE(Löneavtal!U6:'Löneavtal'!$U$4)</f>
        <v>166.53655896048994</v>
      </c>
      <c r="X21" s="4">
        <f>100*(W21/Löneavtal!$T$16-1)</f>
        <v>0.9944215377152732</v>
      </c>
      <c r="Y21">
        <v>0.1</v>
      </c>
      <c r="Z21" s="11">
        <v>0</v>
      </c>
      <c r="AA21" s="11">
        <f t="shared" ref="AA21:AA29" si="2">+X21*0.06</f>
        <v>5.9665292262916392E-2</v>
      </c>
      <c r="AB21" s="4">
        <f t="shared" si="1"/>
        <v>1.1540868299781897</v>
      </c>
      <c r="AC21" s="4">
        <f>KPI!F220</f>
        <v>2.8388761402426965</v>
      </c>
      <c r="AD21" s="41">
        <f>+$AB$17*AB21+$AC$17*AC21</f>
        <v>1.4910446920310911</v>
      </c>
    </row>
    <row r="22" spans="1:30" x14ac:dyDescent="0.2">
      <c r="A22" s="3" t="s">
        <v>4</v>
      </c>
      <c r="B22" s="4">
        <v>1.255209924065559</v>
      </c>
      <c r="C22" s="4">
        <v>1.7238397678459361</v>
      </c>
      <c r="D22" s="4">
        <v>1.4718414244283995</v>
      </c>
      <c r="E22" s="4">
        <v>1.0907351335714965</v>
      </c>
      <c r="F22" s="4">
        <v>1.1210732393409861</v>
      </c>
      <c r="G22" s="4">
        <v>0.67193975014094853</v>
      </c>
      <c r="H22" s="4">
        <v>0.67193975014094853</v>
      </c>
      <c r="I22" s="4">
        <v>0.98039215686276382</v>
      </c>
      <c r="J22" s="4">
        <v>0.97400584213895836</v>
      </c>
      <c r="K22" s="4">
        <v>1.4954785173170331</v>
      </c>
      <c r="L22" s="4">
        <v>0.94428344041400003</v>
      </c>
      <c r="M22" s="4">
        <v>0.61874154344856658</v>
      </c>
      <c r="N22" s="4">
        <v>1.0302717130657491</v>
      </c>
      <c r="O22" s="4">
        <v>2.0381453422590563</v>
      </c>
      <c r="P22" s="4">
        <f t="shared" si="0"/>
        <v>2.3423034937069431</v>
      </c>
      <c r="Q22" s="3" t="s">
        <v>4</v>
      </c>
      <c r="W22" s="4">
        <f>AVERAGE(Löneavtal!U7:'Löneavtal'!$U$4)</f>
        <v>167.72313194308342</v>
      </c>
      <c r="X22" s="4">
        <f>100*(W22/Löneavtal!$T$16-1)</f>
        <v>1.7140067911714851</v>
      </c>
      <c r="Y22">
        <v>0.1</v>
      </c>
      <c r="Z22" s="11">
        <f>'Lagstadgade avgifter'!U16</f>
        <v>6.0078303368782393E-2</v>
      </c>
      <c r="AA22" s="11">
        <f>+X22*0.06</f>
        <v>0.10284040747028911</v>
      </c>
      <c r="AB22" s="4">
        <f>SUM(X22:AA22)</f>
        <v>1.9769255020105567</v>
      </c>
      <c r="AC22" s="4">
        <f>KPI!F221</f>
        <v>3.8038154604924879</v>
      </c>
      <c r="AD22" s="41">
        <f>+$AB$17*AB22+$AC$17*AC22</f>
        <v>2.3423034937069431</v>
      </c>
    </row>
    <row r="23" spans="1:30" x14ac:dyDescent="0.2">
      <c r="A23" s="3" t="s">
        <v>5</v>
      </c>
      <c r="B23" s="4">
        <v>1.5302182386159879</v>
      </c>
      <c r="C23" s="4">
        <v>2.1131076548375649</v>
      </c>
      <c r="D23" s="4">
        <v>1.7923378161462278</v>
      </c>
      <c r="E23" s="4">
        <v>1.3962116736429442</v>
      </c>
      <c r="F23" s="4">
        <v>1.4460927808142454</v>
      </c>
      <c r="G23" s="4">
        <v>1.1839193526906655</v>
      </c>
      <c r="H23" s="4">
        <v>1.1839193526906655</v>
      </c>
      <c r="I23" s="4">
        <v>1.4932113889159826</v>
      </c>
      <c r="J23" s="4">
        <v>1.4235047149483688</v>
      </c>
      <c r="K23" s="4">
        <v>1.825277470783967</v>
      </c>
      <c r="L23" s="4">
        <v>1.5631942134462296</v>
      </c>
      <c r="M23" s="4">
        <v>0.88053607137941825</v>
      </c>
      <c r="N23" s="4">
        <v>1.2617928899648603</v>
      </c>
      <c r="O23" s="4">
        <v>2.6632092598981334</v>
      </c>
      <c r="P23" s="4">
        <f t="shared" si="0"/>
        <v>2.8832409513997996</v>
      </c>
      <c r="Q23" s="3" t="s">
        <v>5</v>
      </c>
      <c r="W23" s="4">
        <f>AVERAGE(Löneavtal!U8:'Löneavtal'!$U$4)</f>
        <v>168.43507573263952</v>
      </c>
      <c r="X23" s="4">
        <f>100*(W23/Löneavtal!$T$16-1)</f>
        <v>2.1457579432452301</v>
      </c>
      <c r="Y23">
        <v>0.1</v>
      </c>
      <c r="Z23" s="11">
        <f>$Z$22</f>
        <v>6.0078303368782393E-2</v>
      </c>
      <c r="AA23" s="11">
        <f>+X23*0.06</f>
        <v>0.1287454765947138</v>
      </c>
      <c r="AB23" s="4">
        <f>SUM(X23:AA23)</f>
        <v>2.4345817232087263</v>
      </c>
      <c r="AC23" s="4">
        <f>KPI!F222</f>
        <v>4.6778778641640928</v>
      </c>
      <c r="AD23" s="41">
        <f t="shared" ref="AD23:AD29" si="3">+$AB$17*AB23+$AC$17*AC23</f>
        <v>2.8832409513997996</v>
      </c>
    </row>
    <row r="24" spans="1:30" x14ac:dyDescent="0.2">
      <c r="A24" s="3" t="s">
        <v>6</v>
      </c>
      <c r="B24" s="4">
        <v>1.713557114982911</v>
      </c>
      <c r="C24" s="4">
        <v>2.3726195794986582</v>
      </c>
      <c r="D24" s="4">
        <v>2.0060020772914466</v>
      </c>
      <c r="E24" s="4">
        <v>1.5998627003572574</v>
      </c>
      <c r="F24" s="4">
        <v>1.662772475129759</v>
      </c>
      <c r="G24" s="4">
        <v>1.5252390877237731</v>
      </c>
      <c r="H24" s="4">
        <v>1.5252390877237731</v>
      </c>
      <c r="I24" s="4">
        <v>1.8350908769514396</v>
      </c>
      <c r="J24" s="4">
        <v>1.7428044959822464</v>
      </c>
      <c r="K24" s="4">
        <v>2.0590517538718527</v>
      </c>
      <c r="L24" s="4">
        <v>1.9994277928749371</v>
      </c>
      <c r="M24" s="4">
        <v>1.0402530040388198</v>
      </c>
      <c r="N24" s="4">
        <v>1.424381069790805</v>
      </c>
      <c r="O24" s="4">
        <v>3.1016082340089808</v>
      </c>
      <c r="P24" s="4">
        <f t="shared" si="0"/>
        <v>3.3004470787931965</v>
      </c>
      <c r="Q24" s="3" t="s">
        <v>6</v>
      </c>
      <c r="W24" s="4">
        <f>AVERAGE(Löneavtal!U9:'Löneavtal'!$U$4)</f>
        <v>168.90970492567689</v>
      </c>
      <c r="X24" s="4">
        <f>100*(W24/Löneavtal!$T$16-1)</f>
        <v>2.4335920446276971</v>
      </c>
      <c r="Y24">
        <v>0.1</v>
      </c>
      <c r="Z24" s="11">
        <f t="shared" ref="Z24:Z30" si="4">$Z$22</f>
        <v>6.0078303368782393E-2</v>
      </c>
      <c r="AA24" s="11">
        <f t="shared" si="2"/>
        <v>0.14601552267766182</v>
      </c>
      <c r="AB24" s="4">
        <f t="shared" si="1"/>
        <v>2.7396858706741414</v>
      </c>
      <c r="AC24" s="4">
        <f>KPI!F223</f>
        <v>5.5434919112694159</v>
      </c>
      <c r="AD24" s="41">
        <f t="shared" si="3"/>
        <v>3.3004470787931965</v>
      </c>
    </row>
    <row r="25" spans="1:30" x14ac:dyDescent="0.2">
      <c r="A25" s="3" t="s">
        <v>7</v>
      </c>
      <c r="B25" s="4">
        <v>1.8445134552450115</v>
      </c>
      <c r="C25" s="4">
        <v>2.5579852399708392</v>
      </c>
      <c r="D25" s="4">
        <v>2.1586194066808506</v>
      </c>
      <c r="E25" s="4">
        <v>1.7453277194388717</v>
      </c>
      <c r="F25" s="4">
        <v>1.8175436853551163</v>
      </c>
      <c r="G25" s="4">
        <v>1.8128009557826896</v>
      </c>
      <c r="H25" s="4">
        <v>1.8128009557826896</v>
      </c>
      <c r="I25" s="4">
        <v>2.0792905112624771</v>
      </c>
      <c r="J25" s="4">
        <v>1.9726853410366365</v>
      </c>
      <c r="K25" s="4">
        <v>2.2327947825531087</v>
      </c>
      <c r="L25" s="4">
        <v>2.3183555369823932</v>
      </c>
      <c r="M25" s="4">
        <v>1.1675298036552941</v>
      </c>
      <c r="N25" s="4">
        <v>1.5462173305632558</v>
      </c>
      <c r="O25" s="4">
        <v>3.4465730779113848</v>
      </c>
      <c r="P25" s="4">
        <f t="shared" si="0"/>
        <v>3.6363157501057803</v>
      </c>
      <c r="Q25" s="3" t="s">
        <v>7</v>
      </c>
      <c r="W25" s="4">
        <f>AVERAGE(Löneavtal!U10:'Löneavtal'!$U$4)</f>
        <v>169.24872577784646</v>
      </c>
      <c r="X25" s="4">
        <f>100*(W25/Löneavtal!$T$16-1)</f>
        <v>2.6391878313294814</v>
      </c>
      <c r="Y25">
        <v>0.1</v>
      </c>
      <c r="Z25" s="11">
        <f t="shared" si="4"/>
        <v>6.0078303368782393E-2</v>
      </c>
      <c r="AA25" s="11">
        <f t="shared" si="2"/>
        <v>0.15835126987976889</v>
      </c>
      <c r="AB25" s="4">
        <f t="shared" si="1"/>
        <v>2.9576174045780328</v>
      </c>
      <c r="AC25" s="4">
        <f>KPI!F224</f>
        <v>6.3511091322167701</v>
      </c>
      <c r="AD25" s="41">
        <f t="shared" si="3"/>
        <v>3.6363157501057803</v>
      </c>
    </row>
    <row r="26" spans="1:30" x14ac:dyDescent="0.2">
      <c r="A26" s="3" t="s">
        <v>8</v>
      </c>
      <c r="B26" s="4">
        <v>1.9427307104415981</v>
      </c>
      <c r="C26" s="4">
        <v>2.697009485324986</v>
      </c>
      <c r="D26" s="4">
        <v>2.2730824037229258</v>
      </c>
      <c r="E26" s="4">
        <v>1.8544264837500934</v>
      </c>
      <c r="F26" s="4">
        <v>1.9336220930241677</v>
      </c>
      <c r="G26" s="4">
        <v>1.9956508138361473</v>
      </c>
      <c r="H26" s="4">
        <v>1.9956508138361473</v>
      </c>
      <c r="I26" s="4">
        <v>2.2624402369957552</v>
      </c>
      <c r="J26" s="4">
        <v>2.1469168575452855</v>
      </c>
      <c r="K26" s="4">
        <v>2.3690182772302264</v>
      </c>
      <c r="L26" s="4">
        <v>2.5538851799480713</v>
      </c>
      <c r="M26" s="4">
        <v>1.2739314226041232</v>
      </c>
      <c r="N26" s="4">
        <v>1.63967952975414</v>
      </c>
      <c r="O26" s="4">
        <v>3.7428872982918464</v>
      </c>
      <c r="P26" s="4">
        <f t="shared" si="0"/>
        <v>3.9248077708808013</v>
      </c>
      <c r="Q26" s="3" t="s">
        <v>8</v>
      </c>
      <c r="W26" s="4">
        <f>AVERAGE(Löneavtal!U11:'Löneavtal'!$U$4)</f>
        <v>169.50299141697366</v>
      </c>
      <c r="X26" s="4">
        <f>100*(W26/Löneavtal!$T$16-1)</f>
        <v>2.7933846713558141</v>
      </c>
      <c r="Y26">
        <v>0.1</v>
      </c>
      <c r="Z26" s="11">
        <f>$Z$22</f>
        <v>6.0078303368782393E-2</v>
      </c>
      <c r="AA26" s="11">
        <f t="shared" si="2"/>
        <v>0.16760308028134885</v>
      </c>
      <c r="AB26" s="4">
        <f t="shared" si="1"/>
        <v>3.1210660550059455</v>
      </c>
      <c r="AC26" s="4">
        <f>KPI!F225</f>
        <v>7.1397746343802249</v>
      </c>
      <c r="AD26" s="41">
        <f t="shared" si="3"/>
        <v>3.9248077708808013</v>
      </c>
    </row>
    <row r="27" spans="1:30" x14ac:dyDescent="0.2">
      <c r="A27" s="3" t="s">
        <v>9</v>
      </c>
      <c r="B27" s="4">
        <v>2.0191219089278345</v>
      </c>
      <c r="C27" s="4">
        <v>2.8051394539337693</v>
      </c>
      <c r="D27" s="4">
        <v>2.3621091792000781</v>
      </c>
      <c r="E27" s="4">
        <v>1.9392810782143721</v>
      </c>
      <c r="F27" s="4">
        <v>2.0239052989889483</v>
      </c>
      <c r="G27" s="4">
        <v>2.1378673700999773</v>
      </c>
      <c r="H27" s="4">
        <v>2.1378673700999773</v>
      </c>
      <c r="I27" s="4">
        <v>2.4048900236772086</v>
      </c>
      <c r="J27" s="4">
        <v>2.2945342912539699</v>
      </c>
      <c r="K27" s="4">
        <v>2.4868023305336351</v>
      </c>
      <c r="L27" s="4">
        <v>2.7461045311488586</v>
      </c>
      <c r="M27" s="4">
        <v>1.3584149542298936</v>
      </c>
      <c r="N27" s="4">
        <v>1.7183956951136825</v>
      </c>
      <c r="O27" s="4">
        <v>3.9755033434454163</v>
      </c>
      <c r="P27" s="4">
        <f t="shared" si="0"/>
        <v>4.1835572519182262</v>
      </c>
      <c r="Q27" s="3" t="s">
        <v>9</v>
      </c>
      <c r="W27" s="4">
        <f>AVERAGE(Löneavtal!U12:'Löneavtal'!$U$4)</f>
        <v>169.70075358073925</v>
      </c>
      <c r="X27" s="4">
        <f>100*(W27/Löneavtal!$T$16-1)</f>
        <v>2.9133155469318606</v>
      </c>
      <c r="Y27">
        <v>0.1</v>
      </c>
      <c r="Z27" s="11">
        <f t="shared" si="4"/>
        <v>6.0078303368782393E-2</v>
      </c>
      <c r="AA27" s="11">
        <f t="shared" si="2"/>
        <v>0.17479893281591163</v>
      </c>
      <c r="AB27" s="4">
        <f t="shared" si="1"/>
        <v>3.2481927831165547</v>
      </c>
      <c r="AC27" s="4">
        <f>KPI!F226</f>
        <v>7.9250151271249125</v>
      </c>
      <c r="AD27" s="41">
        <f t="shared" si="3"/>
        <v>4.1835572519182262</v>
      </c>
    </row>
    <row r="28" spans="1:30" x14ac:dyDescent="0.2">
      <c r="A28" s="3" t="s">
        <v>10</v>
      </c>
      <c r="B28" s="4">
        <v>2.0802348677168014</v>
      </c>
      <c r="C28" s="4">
        <v>2.8916434288208226</v>
      </c>
      <c r="D28" s="4">
        <v>2.4333305995818399</v>
      </c>
      <c r="E28" s="4">
        <v>2.0071647537858173</v>
      </c>
      <c r="F28" s="4">
        <v>2.0961318637607862</v>
      </c>
      <c r="G28" s="4">
        <v>2.2516406151110058</v>
      </c>
      <c r="H28" s="4">
        <v>2.2516406151110058</v>
      </c>
      <c r="I28" s="4">
        <v>2.5188498530223535</v>
      </c>
      <c r="J28" s="4">
        <v>2.4093981506170326</v>
      </c>
      <c r="K28" s="4">
        <v>2.5766702508434149</v>
      </c>
      <c r="L28" s="4">
        <v>2.891264524089447</v>
      </c>
      <c r="M28" s="4">
        <v>1.420174625284603</v>
      </c>
      <c r="N28" s="4">
        <v>1.7918532169906738</v>
      </c>
      <c r="O28" s="4">
        <v>4.1998755614119467</v>
      </c>
      <c r="P28" s="4">
        <f t="shared" si="0"/>
        <v>4.3935160448859936</v>
      </c>
      <c r="Q28" s="3" t="s">
        <v>10</v>
      </c>
      <c r="W28" s="4">
        <f>AVERAGE(Löneavtal!U13:'Löneavtal'!$U$4)</f>
        <v>169.85896331175172</v>
      </c>
      <c r="X28" s="4">
        <f>100*(W28/Löneavtal!$T$16-1)</f>
        <v>3.0092602473926977</v>
      </c>
      <c r="Y28">
        <v>0.1</v>
      </c>
      <c r="Z28" s="11">
        <f t="shared" si="4"/>
        <v>6.0078303368782393E-2</v>
      </c>
      <c r="AA28" s="11">
        <f t="shared" si="2"/>
        <v>0.18055561484356186</v>
      </c>
      <c r="AB28" s="4">
        <f t="shared" si="1"/>
        <v>3.3498941656050421</v>
      </c>
      <c r="AC28" s="4">
        <f>KPI!F227</f>
        <v>8.5680035620097961</v>
      </c>
      <c r="AD28" s="41">
        <f t="shared" si="3"/>
        <v>4.3935160448859936</v>
      </c>
    </row>
    <row r="29" spans="1:30" x14ac:dyDescent="0.2">
      <c r="A29" s="3" t="s">
        <v>11</v>
      </c>
      <c r="B29" s="4">
        <v>2.1302363794532209</v>
      </c>
      <c r="C29" s="4">
        <v>2.962419408273842</v>
      </c>
      <c r="D29" s="4">
        <v>2.4916026708032613</v>
      </c>
      <c r="E29" s="4">
        <v>2.0627059428897088</v>
      </c>
      <c r="F29" s="4">
        <v>2.1552263258468374</v>
      </c>
      <c r="G29" s="4">
        <v>2.3447278155745765</v>
      </c>
      <c r="H29" s="4">
        <v>2.3447278155745765</v>
      </c>
      <c r="I29" s="4">
        <v>2.61208971339566</v>
      </c>
      <c r="J29" s="4">
        <v>2.5059110739563351</v>
      </c>
      <c r="K29" s="4">
        <v>2.6587473502173546</v>
      </c>
      <c r="L29" s="4">
        <v>2.9234626076375179</v>
      </c>
      <c r="M29" s="4">
        <v>1.4692266546612156</v>
      </c>
      <c r="N29" s="4">
        <v>1.8614321149424278</v>
      </c>
      <c r="O29" s="4">
        <v>4.4122303138754297</v>
      </c>
      <c r="P29" s="4">
        <f t="shared" si="0"/>
        <v>4.5735205344646781</v>
      </c>
      <c r="Q29" s="3" t="s">
        <v>11</v>
      </c>
      <c r="W29" s="4">
        <f>AVERAGE(Löneavtal!U14:'Löneavtal'!$U$4)</f>
        <v>169.98840763712556</v>
      </c>
      <c r="X29" s="4">
        <f>100*(W29/Löneavtal!$T$16-1)</f>
        <v>3.0877604568606554</v>
      </c>
      <c r="Y29">
        <v>0.1</v>
      </c>
      <c r="Z29" s="11">
        <f t="shared" si="4"/>
        <v>6.0078303368782393E-2</v>
      </c>
      <c r="AA29" s="11">
        <f t="shared" si="2"/>
        <v>0.18526562741163932</v>
      </c>
      <c r="AB29" s="4">
        <f>SUM(X29:AA29)</f>
        <v>3.4331043876410772</v>
      </c>
      <c r="AC29" s="4">
        <f>KPI!F228</f>
        <v>9.1351851217590827</v>
      </c>
      <c r="AD29" s="41">
        <f t="shared" si="3"/>
        <v>4.5735205344646781</v>
      </c>
    </row>
    <row r="30" spans="1:30" x14ac:dyDescent="0.2">
      <c r="A30" s="5" t="s">
        <v>12</v>
      </c>
      <c r="B30" s="6">
        <v>2.1719043059002852</v>
      </c>
      <c r="C30" s="6">
        <v>3.0213993911513803</v>
      </c>
      <c r="D30" s="6">
        <v>2.540162730154405</v>
      </c>
      <c r="E30" s="6">
        <v>2.1089902671429739</v>
      </c>
      <c r="F30" s="6">
        <v>2.2044717109185319</v>
      </c>
      <c r="G30" s="6">
        <v>2.4223004826275485</v>
      </c>
      <c r="H30" s="6">
        <v>2.4223004826275485</v>
      </c>
      <c r="I30" s="6">
        <v>2.6897895970400709</v>
      </c>
      <c r="J30" s="6">
        <v>2.5850718090512892</v>
      </c>
      <c r="K30" s="6">
        <v>2.7249652718624833</v>
      </c>
      <c r="L30" s="6">
        <v>2.9507526145669436</v>
      </c>
      <c r="M30" s="6">
        <v>1.5062475464632241</v>
      </c>
      <c r="N30" s="6">
        <v>1.9228895359214206</v>
      </c>
      <c r="O30" s="6">
        <v>4.5932472128693895</v>
      </c>
      <c r="P30" s="6">
        <f t="shared" si="0"/>
        <v>4.7432979968246451</v>
      </c>
      <c r="Q30" s="5" t="s">
        <v>12</v>
      </c>
      <c r="W30" s="4">
        <f>AVERAGE(Löneavtal!U15:'Löneavtal'!$U$4)</f>
        <v>170.09627790827042</v>
      </c>
      <c r="X30" s="4">
        <f>100*(W30/Löneavtal!$T$16-1)</f>
        <v>3.1531772980839534</v>
      </c>
      <c r="Y30">
        <v>0.1</v>
      </c>
      <c r="Z30" s="11">
        <f t="shared" si="4"/>
        <v>6.0078303368782393E-2</v>
      </c>
      <c r="AA30" s="11">
        <f>+X30*0.06</f>
        <v>0.18919063788503721</v>
      </c>
      <c r="AB30" s="4">
        <f>SUM(X30:AA30)</f>
        <v>3.5024462393377731</v>
      </c>
      <c r="AC30" s="4">
        <f>KPI!F229</f>
        <v>9.7067050267721342</v>
      </c>
      <c r="AD30" s="41">
        <f>+$AB$17*AB30+$AC$17*AC30</f>
        <v>4.7432979968246451</v>
      </c>
    </row>
  </sheetData>
  <pageMargins left="0.19685039370078741" right="0.19685039370078741" top="0.59055118110236227" bottom="0.59055118110236227" header="0.31496062992125984" footer="0.31496062992125984"/>
  <pageSetup paperSize="9" orientation="landscape" r:id="rId1"/>
  <headerFooter>
    <oddHeader>&amp;C2023-12-07
&amp;R&amp;A</oddHeader>
    <oddFooter>&amp;L&amp;F&amp;C&amp;P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OPI</vt:lpstr>
      <vt:lpstr>Löneavtal</vt:lpstr>
      <vt:lpstr>Lagstadgade avgifter</vt:lpstr>
      <vt:lpstr>Semesterlöneskuld</vt:lpstr>
      <vt:lpstr>KPI</vt:lpstr>
      <vt:lpstr>OPI del av året</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hhel1</dc:creator>
  <cp:lastModifiedBy>Ekström Adrian</cp:lastModifiedBy>
  <cp:lastPrinted>2010-10-27T07:34:24Z</cp:lastPrinted>
  <dcterms:created xsi:type="dcterms:W3CDTF">2009-12-10T15:02:50Z</dcterms:created>
  <dcterms:modified xsi:type="dcterms:W3CDTF">2024-04-18T12:52:53Z</dcterms:modified>
</cp:coreProperties>
</file>